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E:\PROJETOS PASINATO\28 - ALTO DO BOA VISTA\"/>
    </mc:Choice>
  </mc:AlternateContent>
  <xr:revisionPtr revIDLastSave="0" documentId="13_ncr:1_{E27D91C1-D62E-4ACD-B46C-AF783EFF3BCA}" xr6:coauthVersionLast="47" xr6:coauthVersionMax="47" xr10:uidLastSave="{00000000-0000-0000-0000-000000000000}"/>
  <bookViews>
    <workbookView xWindow="-120" yWindow="-120" windowWidth="29040" windowHeight="15840" tabRatio="857" activeTab="1" xr2:uid="{00000000-000D-0000-FFFF-FFFF00000000}"/>
  </bookViews>
  <sheets>
    <sheet name="RESUMO" sheetId="5" r:id="rId1"/>
    <sheet name="QUANT" sheetId="2" r:id="rId2"/>
    <sheet name="ORÇA " sheetId="4" r:id="rId3"/>
    <sheet name="TRANSP" sheetId="3" r:id="rId4"/>
    <sheet name="TRANSPRT ASFALTO CAP 50-70" sheetId="57" r:id="rId5"/>
    <sheet name="TRANSPRT ASFALTO EMULSÃO-CM-30" sheetId="55" r:id="rId6"/>
    <sheet name="AQUIS MATERIAL BETUMINOSO" sheetId="56" r:id="rId7"/>
    <sheet name="CFF" sheetId="31" r:id="rId8"/>
    <sheet name="TERRAP E PAVIM" sheetId="19" r:id="rId9"/>
    <sheet name="MEMORIAL DE CALCULO" sheetId="8" r:id="rId10"/>
    <sheet name="BDI" sheetId="22" r:id="rId11"/>
    <sheet name="BDI DIFERENCIADO" sheetId="33" r:id="rId12"/>
    <sheet name="DRENO PROF" sheetId="54" r:id="rId13"/>
    <sheet name="SN HOR" sheetId="28" r:id="rId14"/>
    <sheet name="SN VERT" sheetId="29" r:id="rId15"/>
  </sheets>
  <externalReferences>
    <externalReference r:id="rId16"/>
    <externalReference r:id="rId17"/>
    <externalReference r:id="rId18"/>
    <externalReference r:id="rId19"/>
    <externalReference r:id="rId20"/>
  </externalReferences>
  <definedNames>
    <definedName name="_xlnm.Print_Area" localSheetId="7">CFF!$A$1:$W$52</definedName>
    <definedName name="_xlnm.Print_Area" localSheetId="2">'ORÇA '!$A$1:$J$112</definedName>
    <definedName name="_xlnm.Print_Area" localSheetId="1">QUANT!$A$1:$F$104</definedName>
    <definedName name="_xlnm.Print_Area" localSheetId="13">'SN HOR'!$A$1:$G$60</definedName>
    <definedName name="_xlnm.Print_Area" localSheetId="3">TRANSP!$A$14:$J$30</definedName>
    <definedName name="_xlnm.Print_Titles" localSheetId="2">'ORÇA '!$1:$6</definedName>
    <definedName name="_xlnm.Print_Titles" localSheetId="1">QUANT!$1:$6</definedName>
    <definedName name="Z_E8D46A29_8D28_49CA_936A_9705D639E1C7_.wvu.PrintArea" localSheetId="2" hidden="1">'ORÇA '!#REF!</definedName>
  </definedNames>
  <calcPr calcId="191029"/>
  <customWorkbookViews>
    <customWorkbookView name="PENTIUM - Modo de exibição pessoal" guid="{96D85DE4-FE1B-11D2-8AAF-0040C72A12C5}" mergeInterval="0" personalView="1" maximized="1" windowWidth="796" windowHeight="411" tabRatio="857" activeSheetId="3"/>
    <customWorkbookView name="Máquina1 - Modo de exibição pessoal" guid="{EE864208-5880-11D2-88BD-0040C708D492}" mergeInterval="0" personalView="1" maximized="1" windowWidth="796" windowHeight="411" tabRatio="857" activeSheetId="4" showComments="commIndAndComment"/>
    <customWorkbookView name="Máquina2 - Modo de exibição pessoal" guid="{F1F53240-5C6B-11D2-88BD-0040C72A12C5}" mergeInterval="0" personalView="1" maximized="1" windowWidth="796" windowHeight="411" tabRatio="857" activeSheetId="5"/>
    <customWorkbookView name="&lt;: - Modo de exibição pessoal" guid="{AFF92C80-53BE-11D2-88E1-0040C72A12C5}" mergeInterval="0" personalView="1" maximized="1" windowWidth="796" windowHeight="400" tabRatio="857" activeSheetId="3"/>
    <customWorkbookView name="ECP - Modo de exibição pessoal" guid="{0C989940-19FB-11D4-B636-00D0093DDF73}" mergeInterval="0" personalView="1" maximized="1" windowWidth="796" windowHeight="438" tabRatio="857" activeSheetId="3"/>
    <customWorkbookView name="joão - Modo de exibição pessoal" guid="{E8D46A29-8D28-49CA-936A-9705D639E1C7}" mergeInterval="0" personalView="1" maximized="1" xWindow="1" yWindow="1" windowWidth="1600" windowHeight="610" tabRatio="857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31" l="1"/>
  <c r="L10" i="31" s="1"/>
  <c r="E13" i="31"/>
  <c r="L13" i="31" s="1"/>
  <c r="E16" i="31"/>
  <c r="E19" i="31"/>
  <c r="I19" i="31" s="1"/>
  <c r="E22" i="31"/>
  <c r="E25" i="31"/>
  <c r="E28" i="31"/>
  <c r="E31" i="31"/>
  <c r="I31" i="31" s="1"/>
  <c r="E34" i="31"/>
  <c r="O34" i="31" s="1"/>
  <c r="E37" i="31"/>
  <c r="L37" i="31" s="1"/>
  <c r="E40" i="31"/>
  <c r="E43" i="31"/>
  <c r="O43" i="31" s="1"/>
  <c r="E46" i="31"/>
  <c r="E7" i="31"/>
  <c r="L7" i="31" s="1"/>
  <c r="C48" i="5"/>
  <c r="C45" i="5"/>
  <c r="C42" i="5"/>
  <c r="C39" i="5"/>
  <c r="C36" i="5"/>
  <c r="C33" i="5"/>
  <c r="C30" i="5"/>
  <c r="C27" i="5"/>
  <c r="C24" i="5"/>
  <c r="C21" i="5"/>
  <c r="C18" i="5"/>
  <c r="C15" i="5"/>
  <c r="C12" i="5"/>
  <c r="C9" i="5"/>
  <c r="H68" i="4"/>
  <c r="I68" i="4" s="1"/>
  <c r="J68" i="4" s="1"/>
  <c r="H52" i="4"/>
  <c r="H51" i="4"/>
  <c r="H50" i="4"/>
  <c r="H47" i="4"/>
  <c r="H46" i="4"/>
  <c r="H45" i="4"/>
  <c r="H10" i="4"/>
  <c r="N15" i="4"/>
  <c r="F17" i="4"/>
  <c r="F18" i="4"/>
  <c r="F19" i="4"/>
  <c r="F20" i="4"/>
  <c r="F21" i="4"/>
  <c r="N22" i="4"/>
  <c r="N23" i="4"/>
  <c r="F24" i="4"/>
  <c r="F25" i="4"/>
  <c r="F27" i="4"/>
  <c r="F28" i="4"/>
  <c r="N30" i="4"/>
  <c r="N31" i="4"/>
  <c r="F34" i="4"/>
  <c r="F35" i="4"/>
  <c r="F36" i="4"/>
  <c r="F37" i="4"/>
  <c r="N37" i="4" s="1"/>
  <c r="F38" i="4"/>
  <c r="N38" i="4" s="1"/>
  <c r="F39" i="4"/>
  <c r="N39" i="4" s="1"/>
  <c r="F40" i="4"/>
  <c r="F41" i="4"/>
  <c r="F42" i="4"/>
  <c r="F45" i="4"/>
  <c r="F46" i="4"/>
  <c r="F47" i="4"/>
  <c r="N47" i="4" s="1"/>
  <c r="F54" i="4"/>
  <c r="N55" i="4"/>
  <c r="N56" i="4"/>
  <c r="F58" i="4"/>
  <c r="F59" i="4"/>
  <c r="F60" i="4"/>
  <c r="F63" i="4"/>
  <c r="F64" i="4"/>
  <c r="N64" i="4" s="1"/>
  <c r="F65" i="4"/>
  <c r="N65" i="4" s="1"/>
  <c r="F66" i="4"/>
  <c r="F67" i="4"/>
  <c r="N70" i="4"/>
  <c r="F71" i="4"/>
  <c r="F72" i="4"/>
  <c r="F73" i="4"/>
  <c r="N73" i="4" s="1"/>
  <c r="F74" i="4"/>
  <c r="F75" i="4"/>
  <c r="F76" i="4"/>
  <c r="F77" i="4"/>
  <c r="F78" i="4"/>
  <c r="F79" i="4"/>
  <c r="N79" i="4" s="1"/>
  <c r="F80" i="4"/>
  <c r="F81" i="4"/>
  <c r="N81" i="4" s="1"/>
  <c r="F85" i="4"/>
  <c r="F86" i="4"/>
  <c r="N86" i="4" s="1"/>
  <c r="N87" i="4"/>
  <c r="N88" i="4"/>
  <c r="F93" i="4"/>
  <c r="F94" i="4"/>
  <c r="N94" i="4" s="1"/>
  <c r="F95" i="4"/>
  <c r="N95" i="4" s="1"/>
  <c r="F96" i="4"/>
  <c r="F97" i="4"/>
  <c r="N97" i="4" s="1"/>
  <c r="F98" i="4"/>
  <c r="N98" i="4" s="1"/>
  <c r="F99" i="4"/>
  <c r="F100" i="4"/>
  <c r="F101" i="4"/>
  <c r="F102" i="4"/>
  <c r="N102" i="4" s="1"/>
  <c r="F104" i="4"/>
  <c r="N104" i="4" s="1"/>
  <c r="F105" i="4"/>
  <c r="N105" i="4" s="1"/>
  <c r="F106" i="4"/>
  <c r="F107" i="4"/>
  <c r="F108" i="4"/>
  <c r="N13" i="4"/>
  <c r="F14" i="4"/>
  <c r="N14" i="4" s="1"/>
  <c r="F9" i="4"/>
  <c r="F10" i="4"/>
  <c r="F11" i="4"/>
  <c r="F8" i="4"/>
  <c r="N8" i="4" s="1"/>
  <c r="E6" i="29"/>
  <c r="E7" i="29"/>
  <c r="E8" i="29"/>
  <c r="E9" i="29"/>
  <c r="E11" i="29"/>
  <c r="E12" i="29"/>
  <c r="E13" i="29"/>
  <c r="E14" i="29"/>
  <c r="E16" i="29"/>
  <c r="E17" i="29"/>
  <c r="E18" i="29"/>
  <c r="E20" i="29"/>
  <c r="E21" i="29"/>
  <c r="E23" i="29"/>
  <c r="E24" i="29"/>
  <c r="E26" i="29"/>
  <c r="E27" i="29"/>
  <c r="E29" i="29"/>
  <c r="E30" i="29"/>
  <c r="E31" i="29"/>
  <c r="E32" i="29"/>
  <c r="E34" i="29"/>
  <c r="E35" i="29"/>
  <c r="E36" i="29"/>
  <c r="E37" i="29"/>
  <c r="E39" i="29"/>
  <c r="E40" i="29"/>
  <c r="E41" i="29"/>
  <c r="E42" i="29"/>
  <c r="E44" i="29"/>
  <c r="E45" i="29"/>
  <c r="E46" i="29"/>
  <c r="E47" i="29"/>
  <c r="E49" i="29"/>
  <c r="E50" i="29"/>
  <c r="E52" i="29"/>
  <c r="E53" i="29"/>
  <c r="E55" i="29"/>
  <c r="E56" i="29"/>
  <c r="E58" i="29"/>
  <c r="E59" i="29"/>
  <c r="E60" i="29"/>
  <c r="E61" i="29"/>
  <c r="E62" i="29"/>
  <c r="E63" i="29"/>
  <c r="E6" i="28"/>
  <c r="E7" i="28"/>
  <c r="E9" i="28"/>
  <c r="E10" i="28"/>
  <c r="F49" i="28" s="1"/>
  <c r="C57" i="28" s="1"/>
  <c r="E12" i="28"/>
  <c r="E13" i="28"/>
  <c r="E15" i="28"/>
  <c r="F48" i="28" s="1"/>
  <c r="E16" i="28"/>
  <c r="E18" i="28"/>
  <c r="E19" i="28"/>
  <c r="E21" i="28"/>
  <c r="E22" i="28"/>
  <c r="E24" i="28"/>
  <c r="E25" i="28"/>
  <c r="E27" i="28"/>
  <c r="E28" i="28"/>
  <c r="E30" i="28"/>
  <c r="E31" i="28"/>
  <c r="E33" i="28"/>
  <c r="E34" i="28"/>
  <c r="E37" i="28"/>
  <c r="E38" i="28"/>
  <c r="E41" i="28"/>
  <c r="E42" i="28"/>
  <c r="E45" i="28"/>
  <c r="E46" i="28"/>
  <c r="C48" i="28"/>
  <c r="C49" i="28"/>
  <c r="C50" i="28"/>
  <c r="C55" i="28"/>
  <c r="C60" i="28"/>
  <c r="H8" i="54"/>
  <c r="I8" i="54"/>
  <c r="H9" i="54"/>
  <c r="I9" i="54" s="1"/>
  <c r="H10" i="54"/>
  <c r="I10" i="54"/>
  <c r="H11" i="54"/>
  <c r="I11" i="54" s="1"/>
  <c r="H12" i="54"/>
  <c r="I12" i="54"/>
  <c r="H13" i="54"/>
  <c r="I13" i="54" s="1"/>
  <c r="H14" i="54"/>
  <c r="I14" i="54"/>
  <c r="H15" i="54"/>
  <c r="I15" i="54" s="1"/>
  <c r="H16" i="54"/>
  <c r="I16" i="54"/>
  <c r="H17" i="54"/>
  <c r="I17" i="54" s="1"/>
  <c r="H18" i="54"/>
  <c r="I18" i="54"/>
  <c r="H19" i="54"/>
  <c r="I19" i="54" s="1"/>
  <c r="H20" i="54"/>
  <c r="I20" i="54"/>
  <c r="H21" i="54"/>
  <c r="I21" i="54" s="1"/>
  <c r="H22" i="54"/>
  <c r="I22" i="54"/>
  <c r="H23" i="54"/>
  <c r="I23" i="54" s="1"/>
  <c r="H24" i="54"/>
  <c r="I24" i="54"/>
  <c r="E10" i="33"/>
  <c r="E16" i="33"/>
  <c r="E25" i="33" s="1"/>
  <c r="E19" i="33"/>
  <c r="E10" i="22"/>
  <c r="E16" i="22"/>
  <c r="E25" i="22" s="1"/>
  <c r="E19" i="22"/>
  <c r="H10" i="8"/>
  <c r="I10" i="8"/>
  <c r="J10" i="8"/>
  <c r="I11" i="8"/>
  <c r="J11" i="8"/>
  <c r="H13" i="8"/>
  <c r="I13" i="8" s="1"/>
  <c r="J13" i="8"/>
  <c r="H15" i="8"/>
  <c r="I15" i="8"/>
  <c r="J15" i="8"/>
  <c r="H16" i="8"/>
  <c r="I16" i="8"/>
  <c r="J16" i="8"/>
  <c r="H18" i="8"/>
  <c r="I18" i="8"/>
  <c r="J18" i="8"/>
  <c r="H20" i="8"/>
  <c r="I20" i="8" s="1"/>
  <c r="J20" i="8"/>
  <c r="H21" i="8"/>
  <c r="I21" i="8" s="1"/>
  <c r="J21" i="8"/>
  <c r="H22" i="8"/>
  <c r="I22" i="8"/>
  <c r="J22" i="8"/>
  <c r="C24" i="8"/>
  <c r="I24" i="8"/>
  <c r="J24" i="8"/>
  <c r="I27" i="8"/>
  <c r="D43" i="8" s="1"/>
  <c r="J27" i="8"/>
  <c r="I28" i="8"/>
  <c r="J28" i="8"/>
  <c r="I29" i="8"/>
  <c r="D45" i="8" s="1"/>
  <c r="J29" i="8"/>
  <c r="J33" i="8"/>
  <c r="D51" i="8" s="1"/>
  <c r="D34" i="8"/>
  <c r="D36" i="8"/>
  <c r="C37" i="8"/>
  <c r="D37" i="8"/>
  <c r="D38" i="8"/>
  <c r="D39" i="8"/>
  <c r="D40" i="8"/>
  <c r="D41" i="8"/>
  <c r="D42" i="8"/>
  <c r="C43" i="8"/>
  <c r="C44" i="8"/>
  <c r="D44" i="8"/>
  <c r="C45" i="8"/>
  <c r="D46" i="8"/>
  <c r="D52" i="8"/>
  <c r="H8" i="19"/>
  <c r="T8" i="19" s="1"/>
  <c r="Q8" i="19"/>
  <c r="X8" i="19"/>
  <c r="Y8" i="19"/>
  <c r="H9" i="19"/>
  <c r="P9" i="19" s="1"/>
  <c r="R9" i="19"/>
  <c r="U9" i="19"/>
  <c r="X9" i="19"/>
  <c r="H10" i="19"/>
  <c r="T10" i="19" s="1"/>
  <c r="V10" i="19" s="1"/>
  <c r="Q10" i="19"/>
  <c r="X10" i="19"/>
  <c r="Y10" i="19"/>
  <c r="H11" i="19"/>
  <c r="P11" i="19" s="1"/>
  <c r="R11" i="19"/>
  <c r="U11" i="19"/>
  <c r="X11" i="19"/>
  <c r="H12" i="19"/>
  <c r="T12" i="19" s="1"/>
  <c r="V12" i="19" s="1"/>
  <c r="Q12" i="19"/>
  <c r="H13" i="19"/>
  <c r="Q13" i="19" s="1"/>
  <c r="H14" i="19"/>
  <c r="Q14" i="19" s="1"/>
  <c r="M14" i="19"/>
  <c r="P14" i="19"/>
  <c r="S14" i="19"/>
  <c r="T14" i="19"/>
  <c r="V14" i="19" s="1"/>
  <c r="X14" i="19"/>
  <c r="W14" i="19" s="1"/>
  <c r="H15" i="19"/>
  <c r="U15" i="19" s="1"/>
  <c r="M15" i="19"/>
  <c r="P15" i="19"/>
  <c r="R15" i="19"/>
  <c r="S15" i="19"/>
  <c r="T15" i="19"/>
  <c r="V15" i="19" s="1"/>
  <c r="W15" i="19"/>
  <c r="X15" i="19"/>
  <c r="H16" i="19"/>
  <c r="M16" i="19" s="1"/>
  <c r="P16" i="19"/>
  <c r="S16" i="19"/>
  <c r="T16" i="19"/>
  <c r="V16" i="19" s="1"/>
  <c r="Y16" i="19"/>
  <c r="H17" i="19"/>
  <c r="M17" i="19" s="1"/>
  <c r="P17" i="19"/>
  <c r="Q17" i="19"/>
  <c r="S17" i="19"/>
  <c r="T17" i="19"/>
  <c r="V17" i="19" s="1"/>
  <c r="U17" i="19"/>
  <c r="X17" i="19"/>
  <c r="X22" i="19" s="1"/>
  <c r="X31" i="19" s="1"/>
  <c r="Y17" i="19"/>
  <c r="H18" i="19"/>
  <c r="M18" i="19"/>
  <c r="P18" i="19"/>
  <c r="Q18" i="19"/>
  <c r="R18" i="19"/>
  <c r="S18" i="19"/>
  <c r="T18" i="19"/>
  <c r="V18" i="19" s="1"/>
  <c r="U18" i="19"/>
  <c r="X18" i="19"/>
  <c r="W18" i="19" s="1"/>
  <c r="Y18" i="19"/>
  <c r="H19" i="19"/>
  <c r="M19" i="19" s="1"/>
  <c r="P19" i="19"/>
  <c r="Q19" i="19"/>
  <c r="S19" i="19"/>
  <c r="T19" i="19"/>
  <c r="V19" i="19" s="1"/>
  <c r="U19" i="19"/>
  <c r="X19" i="19"/>
  <c r="Y19" i="19"/>
  <c r="H20" i="19"/>
  <c r="M20" i="19"/>
  <c r="P20" i="19"/>
  <c r="Q20" i="19"/>
  <c r="R20" i="19"/>
  <c r="S20" i="19"/>
  <c r="T20" i="19"/>
  <c r="V20" i="19" s="1"/>
  <c r="U20" i="19"/>
  <c r="X20" i="19"/>
  <c r="W20" i="19" s="1"/>
  <c r="Y20" i="19"/>
  <c r="M21" i="19"/>
  <c r="N21" i="19"/>
  <c r="P21" i="19"/>
  <c r="Q21" i="19"/>
  <c r="R21" i="19"/>
  <c r="S21" i="19"/>
  <c r="T21" i="19"/>
  <c r="V21" i="19" s="1"/>
  <c r="U21" i="19"/>
  <c r="W21" i="19"/>
  <c r="Y21" i="19"/>
  <c r="N22" i="19"/>
  <c r="O22" i="19"/>
  <c r="H28" i="19"/>
  <c r="W28" i="19" s="1"/>
  <c r="M28" i="19"/>
  <c r="M29" i="19" s="1"/>
  <c r="P28" i="19"/>
  <c r="P29" i="19" s="1"/>
  <c r="R28" i="19"/>
  <c r="R29" i="19" s="1"/>
  <c r="S28" i="19"/>
  <c r="S29" i="19" s="1"/>
  <c r="T28" i="19"/>
  <c r="H29" i="19"/>
  <c r="N29" i="19"/>
  <c r="O29" i="19"/>
  <c r="T29" i="19"/>
  <c r="U29" i="19"/>
  <c r="V29" i="19"/>
  <c r="X29" i="19"/>
  <c r="I31" i="19"/>
  <c r="J31" i="19"/>
  <c r="K31" i="19"/>
  <c r="L31" i="19"/>
  <c r="N31" i="19"/>
  <c r="O31" i="19"/>
  <c r="B7" i="31"/>
  <c r="I7" i="31"/>
  <c r="O7" i="31"/>
  <c r="X9" i="31"/>
  <c r="B10" i="31"/>
  <c r="F10" i="31"/>
  <c r="I10" i="31"/>
  <c r="O10" i="31"/>
  <c r="U10" i="31"/>
  <c r="X12" i="31"/>
  <c r="B13" i="31"/>
  <c r="F13" i="31"/>
  <c r="I13" i="31"/>
  <c r="O13" i="31"/>
  <c r="U13" i="31"/>
  <c r="X15" i="31"/>
  <c r="B16" i="31"/>
  <c r="F16" i="31"/>
  <c r="X16" i="31" s="1"/>
  <c r="Y16" i="31" s="1"/>
  <c r="I16" i="31"/>
  <c r="L16" i="31"/>
  <c r="O16" i="31"/>
  <c r="R16" i="31"/>
  <c r="U16" i="31"/>
  <c r="X18" i="31"/>
  <c r="B19" i="31"/>
  <c r="F19" i="31"/>
  <c r="L19" i="31"/>
  <c r="R19" i="31"/>
  <c r="X21" i="31"/>
  <c r="F22" i="31"/>
  <c r="I22" i="31"/>
  <c r="L22" i="31"/>
  <c r="O22" i="31"/>
  <c r="R22" i="31"/>
  <c r="U22" i="31"/>
  <c r="X24" i="31"/>
  <c r="X27" i="31"/>
  <c r="B28" i="31"/>
  <c r="L28" i="31"/>
  <c r="X28" i="31" s="1"/>
  <c r="Y28" i="31" s="1"/>
  <c r="O28" i="31"/>
  <c r="R28" i="31"/>
  <c r="U28" i="31"/>
  <c r="X30" i="31"/>
  <c r="B31" i="31"/>
  <c r="F31" i="31"/>
  <c r="L31" i="31"/>
  <c r="X33" i="31"/>
  <c r="B34" i="31"/>
  <c r="F34" i="31"/>
  <c r="I34" i="31"/>
  <c r="L34" i="31"/>
  <c r="R34" i="31"/>
  <c r="X36" i="31"/>
  <c r="B37" i="31"/>
  <c r="F37" i="31"/>
  <c r="I37" i="31"/>
  <c r="O37" i="31"/>
  <c r="U37" i="31"/>
  <c r="X39" i="31"/>
  <c r="B40" i="31"/>
  <c r="F40" i="31"/>
  <c r="I40" i="31"/>
  <c r="X40" i="31" s="1"/>
  <c r="Y40" i="31" s="1"/>
  <c r="L40" i="31"/>
  <c r="O40" i="31"/>
  <c r="R40" i="31"/>
  <c r="U40" i="31"/>
  <c r="X42" i="31"/>
  <c r="F43" i="31"/>
  <c r="I43" i="31"/>
  <c r="L43" i="31"/>
  <c r="R43" i="31"/>
  <c r="X45" i="31"/>
  <c r="L46" i="31"/>
  <c r="O46" i="31"/>
  <c r="R46" i="31"/>
  <c r="U46" i="31"/>
  <c r="X48" i="31"/>
  <c r="X49" i="31"/>
  <c r="E6" i="56"/>
  <c r="H6" i="56" s="1"/>
  <c r="L6" i="56" s="1"/>
  <c r="S6" i="56"/>
  <c r="V6" i="56" s="1"/>
  <c r="Z6" i="56" s="1"/>
  <c r="E7" i="56"/>
  <c r="H7" i="56"/>
  <c r="L7" i="56" s="1"/>
  <c r="J7" i="56"/>
  <c r="J8" i="56" s="1"/>
  <c r="S7" i="56"/>
  <c r="V7" i="56"/>
  <c r="Z7" i="56" s="1"/>
  <c r="E8" i="56"/>
  <c r="H8" i="56" s="1"/>
  <c r="L8" i="56" s="1"/>
  <c r="S8" i="56"/>
  <c r="V8" i="56" s="1"/>
  <c r="Z8" i="56" s="1"/>
  <c r="E13" i="56"/>
  <c r="H13" i="56"/>
  <c r="L13" i="56" s="1"/>
  <c r="E14" i="56"/>
  <c r="H14" i="56"/>
  <c r="J14" i="56"/>
  <c r="I14" i="56" s="1"/>
  <c r="I15" i="56" s="1"/>
  <c r="L15" i="56" s="1"/>
  <c r="E15" i="56"/>
  <c r="H15" i="56"/>
  <c r="J15" i="56"/>
  <c r="E20" i="56"/>
  <c r="H20" i="56" s="1"/>
  <c r="I20" i="56"/>
  <c r="E21" i="56"/>
  <c r="H21" i="56" s="1"/>
  <c r="J21" i="56"/>
  <c r="J22" i="56" s="1"/>
  <c r="E22" i="56"/>
  <c r="H22" i="56"/>
  <c r="D14" i="55"/>
  <c r="I14" i="55" s="1"/>
  <c r="I25" i="55" s="1"/>
  <c r="H14" i="55"/>
  <c r="D46" i="55"/>
  <c r="E46" i="55" s="1"/>
  <c r="I46" i="55" s="1"/>
  <c r="H46" i="55"/>
  <c r="N47" i="55"/>
  <c r="O47" i="55"/>
  <c r="S47" i="55" s="1"/>
  <c r="S62" i="55" s="1"/>
  <c r="R47" i="55"/>
  <c r="D52" i="55"/>
  <c r="E52" i="55" s="1"/>
  <c r="I52" i="55" s="1"/>
  <c r="H52" i="55"/>
  <c r="D53" i="55"/>
  <c r="E53" i="55"/>
  <c r="I53" i="55" s="1"/>
  <c r="H53" i="55"/>
  <c r="N53" i="55"/>
  <c r="O53" i="55" s="1"/>
  <c r="S53" i="55" s="1"/>
  <c r="R53" i="55"/>
  <c r="D54" i="55"/>
  <c r="E54" i="55"/>
  <c r="I54" i="55" s="1"/>
  <c r="H54" i="55"/>
  <c r="N54" i="55"/>
  <c r="O54" i="55" s="1"/>
  <c r="S54" i="55" s="1"/>
  <c r="R54" i="55"/>
  <c r="N55" i="55"/>
  <c r="O55" i="55"/>
  <c r="S55" i="55" s="1"/>
  <c r="R55" i="55"/>
  <c r="D14" i="57"/>
  <c r="I14" i="57" s="1"/>
  <c r="I25" i="57" s="1"/>
  <c r="H14" i="57"/>
  <c r="D46" i="57"/>
  <c r="E46" i="57" s="1"/>
  <c r="I46" i="57" s="1"/>
  <c r="I61" i="57" s="1"/>
  <c r="H46" i="57"/>
  <c r="N47" i="57"/>
  <c r="O47" i="57" s="1"/>
  <c r="S47" i="57" s="1"/>
  <c r="R47" i="57"/>
  <c r="D52" i="57"/>
  <c r="E52" i="57" s="1"/>
  <c r="I52" i="57" s="1"/>
  <c r="H52" i="57"/>
  <c r="D53" i="57"/>
  <c r="E53" i="57" s="1"/>
  <c r="I53" i="57" s="1"/>
  <c r="H53" i="57"/>
  <c r="N53" i="57"/>
  <c r="O53" i="57" s="1"/>
  <c r="S53" i="57" s="1"/>
  <c r="R53" i="57"/>
  <c r="D54" i="57"/>
  <c r="E54" i="57" s="1"/>
  <c r="I54" i="57" s="1"/>
  <c r="H54" i="57"/>
  <c r="N54" i="57"/>
  <c r="O54" i="57" s="1"/>
  <c r="S54" i="57" s="1"/>
  <c r="R54" i="57"/>
  <c r="N55" i="57"/>
  <c r="O55" i="57" s="1"/>
  <c r="S55" i="57" s="1"/>
  <c r="R55" i="57"/>
  <c r="H7" i="3"/>
  <c r="J7" i="3" s="1"/>
  <c r="J8" i="3" s="1"/>
  <c r="D12" i="3"/>
  <c r="H12" i="3"/>
  <c r="J12" i="3"/>
  <c r="J13" i="3" s="1"/>
  <c r="H19" i="3"/>
  <c r="J19" i="3"/>
  <c r="J22" i="3" s="1"/>
  <c r="H20" i="3"/>
  <c r="J20" i="3"/>
  <c r="H21" i="3"/>
  <c r="J21" i="3"/>
  <c r="H27" i="3"/>
  <c r="J27" i="3" s="1"/>
  <c r="I27" i="3"/>
  <c r="H28" i="3"/>
  <c r="I28" i="3"/>
  <c r="J28" i="3"/>
  <c r="H29" i="3"/>
  <c r="I29" i="3"/>
  <c r="J29" i="3"/>
  <c r="H30" i="3"/>
  <c r="J30" i="3" s="1"/>
  <c r="H31" i="3"/>
  <c r="J31" i="3" s="1"/>
  <c r="H32" i="3"/>
  <c r="J32" i="3" s="1"/>
  <c r="H33" i="3"/>
  <c r="J33" i="3"/>
  <c r="H34" i="3"/>
  <c r="J34" i="3" s="1"/>
  <c r="H41" i="3"/>
  <c r="J41" i="3" s="1"/>
  <c r="J42" i="3" s="1"/>
  <c r="H47" i="3"/>
  <c r="I47" i="3"/>
  <c r="J47" i="3"/>
  <c r="J48" i="3" s="1"/>
  <c r="A1" i="4"/>
  <c r="A6" i="4"/>
  <c r="B6" i="4"/>
  <c r="C6" i="4"/>
  <c r="D6" i="4"/>
  <c r="H8" i="4"/>
  <c r="I8" i="4" s="1"/>
  <c r="H9" i="4"/>
  <c r="N9" i="4"/>
  <c r="H11" i="4"/>
  <c r="I11" i="4" s="1"/>
  <c r="N11" i="4"/>
  <c r="N12" i="4"/>
  <c r="H14" i="4"/>
  <c r="N16" i="4"/>
  <c r="H17" i="4"/>
  <c r="I17" i="4" s="1"/>
  <c r="N17" i="4"/>
  <c r="H18" i="4"/>
  <c r="I18" i="4" s="1"/>
  <c r="N18" i="4"/>
  <c r="H19" i="4"/>
  <c r="I19" i="4" s="1"/>
  <c r="N19" i="4"/>
  <c r="H20" i="4"/>
  <c r="I20" i="4" s="1"/>
  <c r="N20" i="4"/>
  <c r="H21" i="4"/>
  <c r="H24" i="4"/>
  <c r="I24" i="4" s="1"/>
  <c r="N24" i="4"/>
  <c r="H25" i="4"/>
  <c r="I25" i="4" s="1"/>
  <c r="N25" i="4"/>
  <c r="H26" i="4"/>
  <c r="H27" i="4"/>
  <c r="I27" i="4" s="1"/>
  <c r="N27" i="4"/>
  <c r="H28" i="4"/>
  <c r="I28" i="4" s="1"/>
  <c r="N28" i="4"/>
  <c r="H29" i="4"/>
  <c r="H32" i="4"/>
  <c r="H33" i="4"/>
  <c r="H34" i="4"/>
  <c r="I34" i="4" s="1"/>
  <c r="N34" i="4"/>
  <c r="H35" i="4"/>
  <c r="I35" i="4" s="1"/>
  <c r="N35" i="4"/>
  <c r="H36" i="4"/>
  <c r="I36" i="4" s="1"/>
  <c r="N36" i="4"/>
  <c r="H37" i="4"/>
  <c r="H38" i="4"/>
  <c r="H39" i="4"/>
  <c r="H40" i="4"/>
  <c r="I40" i="4" s="1"/>
  <c r="N40" i="4"/>
  <c r="H41" i="4"/>
  <c r="I41" i="4" s="1"/>
  <c r="N41" i="4"/>
  <c r="H42" i="4"/>
  <c r="I42" i="4" s="1"/>
  <c r="N42" i="4"/>
  <c r="N43" i="4"/>
  <c r="N44" i="4"/>
  <c r="N48" i="4"/>
  <c r="N49" i="4"/>
  <c r="H53" i="4"/>
  <c r="H54" i="4"/>
  <c r="H57" i="4"/>
  <c r="I57" i="4" s="1"/>
  <c r="N57" i="4"/>
  <c r="H58" i="4"/>
  <c r="I58" i="4" s="1"/>
  <c r="N58" i="4"/>
  <c r="H59" i="4"/>
  <c r="I59" i="4" s="1"/>
  <c r="N59" i="4"/>
  <c r="H60" i="4"/>
  <c r="I60" i="4" s="1"/>
  <c r="N60" i="4"/>
  <c r="N61" i="4"/>
  <c r="N62" i="4"/>
  <c r="H63" i="4"/>
  <c r="I63" i="4" s="1"/>
  <c r="N63" i="4"/>
  <c r="H64" i="4"/>
  <c r="I64" i="4" s="1"/>
  <c r="H65" i="4"/>
  <c r="H66" i="4"/>
  <c r="I66" i="4" s="1"/>
  <c r="N66" i="4"/>
  <c r="H67" i="4"/>
  <c r="I67" i="4" s="1"/>
  <c r="N67" i="4"/>
  <c r="N69" i="4"/>
  <c r="H71" i="4"/>
  <c r="N71" i="4"/>
  <c r="H72" i="4"/>
  <c r="N72" i="4"/>
  <c r="H73" i="4"/>
  <c r="H74" i="4"/>
  <c r="H75" i="4"/>
  <c r="I75" i="4" s="1"/>
  <c r="N75" i="4"/>
  <c r="H76" i="4"/>
  <c r="I76" i="4" s="1"/>
  <c r="N76" i="4"/>
  <c r="H77" i="4"/>
  <c r="I77" i="4" s="1"/>
  <c r="N77" i="4"/>
  <c r="H78" i="4"/>
  <c r="H79" i="4"/>
  <c r="H80" i="4"/>
  <c r="I80" i="4" s="1"/>
  <c r="N80" i="4"/>
  <c r="H81" i="4"/>
  <c r="H82" i="4"/>
  <c r="N83" i="4"/>
  <c r="N84" i="4"/>
  <c r="H85" i="4"/>
  <c r="I85" i="4" s="1"/>
  <c r="N85" i="4"/>
  <c r="H86" i="4"/>
  <c r="H89" i="4"/>
  <c r="H90" i="4"/>
  <c r="N91" i="4"/>
  <c r="N92" i="4"/>
  <c r="H93" i="4"/>
  <c r="I93" i="4"/>
  <c r="N93" i="4"/>
  <c r="H94" i="4"/>
  <c r="I94" i="4" s="1"/>
  <c r="H95" i="4"/>
  <c r="H96" i="4"/>
  <c r="I96" i="4" s="1"/>
  <c r="N96" i="4"/>
  <c r="H97" i="4"/>
  <c r="I97" i="4" s="1"/>
  <c r="H98" i="4"/>
  <c r="H99" i="4"/>
  <c r="I99" i="4" s="1"/>
  <c r="N99" i="4"/>
  <c r="H100" i="4"/>
  <c r="I100" i="4" s="1"/>
  <c r="N100" i="4"/>
  <c r="H101" i="4"/>
  <c r="I101" i="4" s="1"/>
  <c r="N101" i="4"/>
  <c r="H102" i="4"/>
  <c r="H103" i="4"/>
  <c r="H104" i="4"/>
  <c r="I104" i="4" s="1"/>
  <c r="H105" i="4"/>
  <c r="H106" i="4"/>
  <c r="N106" i="4"/>
  <c r="N107" i="4"/>
  <c r="N108" i="4"/>
  <c r="H109" i="4"/>
  <c r="H110" i="4"/>
  <c r="F25" i="2"/>
  <c r="F26" i="4" s="1"/>
  <c r="N26" i="4" s="1"/>
  <c r="F28" i="2"/>
  <c r="F29" i="4" s="1"/>
  <c r="F31" i="2"/>
  <c r="F108" i="2" s="1"/>
  <c r="F109" i="2" s="1"/>
  <c r="F110" i="4" s="1"/>
  <c r="N110" i="4" s="1"/>
  <c r="F44" i="2"/>
  <c r="F50" i="2" s="1"/>
  <c r="F51" i="4" s="1"/>
  <c r="N51" i="4" s="1"/>
  <c r="F45" i="2"/>
  <c r="F51" i="2" s="1"/>
  <c r="F52" i="4" s="1"/>
  <c r="F46" i="2"/>
  <c r="F49" i="2" s="1"/>
  <c r="F50" i="4" s="1"/>
  <c r="N50" i="4" s="1"/>
  <c r="F80" i="2"/>
  <c r="F88" i="2"/>
  <c r="F89" i="2"/>
  <c r="F90" i="4" s="1"/>
  <c r="F97" i="2"/>
  <c r="F102" i="2"/>
  <c r="F103" i="4" s="1"/>
  <c r="N103" i="4" s="1"/>
  <c r="F105" i="2"/>
  <c r="X10" i="31" l="1"/>
  <c r="Y10" i="31" s="1"/>
  <c r="X34" i="31"/>
  <c r="Y34" i="31" s="1"/>
  <c r="X46" i="31"/>
  <c r="Y46" i="31" s="1"/>
  <c r="U19" i="31"/>
  <c r="U43" i="31"/>
  <c r="R37" i="31"/>
  <c r="U34" i="31"/>
  <c r="U31" i="31"/>
  <c r="O19" i="31"/>
  <c r="X19" i="31" s="1"/>
  <c r="Y19" i="31" s="1"/>
  <c r="R13" i="31"/>
  <c r="R10" i="31"/>
  <c r="R31" i="31"/>
  <c r="O31" i="31"/>
  <c r="X31" i="31" s="1"/>
  <c r="Y31" i="31" s="1"/>
  <c r="X43" i="31"/>
  <c r="Y43" i="31" s="1"/>
  <c r="X37" i="31"/>
  <c r="Y37" i="31" s="1"/>
  <c r="X22" i="31"/>
  <c r="Y22" i="31" s="1"/>
  <c r="X13" i="31"/>
  <c r="Y13" i="31" s="1"/>
  <c r="F7" i="31"/>
  <c r="U7" i="31"/>
  <c r="R7" i="31"/>
  <c r="I74" i="4"/>
  <c r="I52" i="4"/>
  <c r="N52" i="4"/>
  <c r="N90" i="4"/>
  <c r="I90" i="4"/>
  <c r="F81" i="2"/>
  <c r="F82" i="4" s="1"/>
  <c r="I82" i="4" s="1"/>
  <c r="F89" i="4"/>
  <c r="N89" i="4" s="1"/>
  <c r="I26" i="4"/>
  <c r="I106" i="4"/>
  <c r="I105" i="4"/>
  <c r="I14" i="4"/>
  <c r="J14" i="4" s="1"/>
  <c r="I73" i="4"/>
  <c r="F109" i="4"/>
  <c r="I72" i="4"/>
  <c r="I33" i="4"/>
  <c r="I81" i="4"/>
  <c r="F32" i="4"/>
  <c r="N32" i="4" s="1"/>
  <c r="I39" i="4"/>
  <c r="I98" i="4"/>
  <c r="N82" i="4"/>
  <c r="N74" i="4"/>
  <c r="I65" i="4"/>
  <c r="I78" i="4"/>
  <c r="I47" i="4"/>
  <c r="I50" i="4"/>
  <c r="I51" i="4"/>
  <c r="I46" i="4"/>
  <c r="I45" i="4"/>
  <c r="I29" i="4"/>
  <c r="J29" i="4" s="1"/>
  <c r="I21" i="4"/>
  <c r="J21" i="4" s="1"/>
  <c r="I10" i="4"/>
  <c r="N46" i="4"/>
  <c r="I103" i="4"/>
  <c r="I71" i="4"/>
  <c r="I110" i="4"/>
  <c r="I102" i="4"/>
  <c r="I38" i="4"/>
  <c r="I79" i="4"/>
  <c r="N45" i="4"/>
  <c r="I95" i="4"/>
  <c r="I86" i="4"/>
  <c r="J86" i="4" s="1"/>
  <c r="N78" i="4"/>
  <c r="N29" i="4"/>
  <c r="N21" i="4"/>
  <c r="I37" i="4"/>
  <c r="I9" i="4"/>
  <c r="N10" i="4"/>
  <c r="L14" i="56"/>
  <c r="L20" i="56"/>
  <c r="L21" i="56"/>
  <c r="I32" i="8"/>
  <c r="I26" i="54"/>
  <c r="J60" i="4"/>
  <c r="J35" i="3"/>
  <c r="S62" i="57"/>
  <c r="I61" i="55"/>
  <c r="V8" i="19"/>
  <c r="C56" i="28"/>
  <c r="F50" i="28"/>
  <c r="W29" i="19"/>
  <c r="Y28" i="19"/>
  <c r="Y29" i="19" s="1"/>
  <c r="C58" i="28"/>
  <c r="Q28" i="19"/>
  <c r="Q29" i="19" s="1"/>
  <c r="R19" i="19"/>
  <c r="R17" i="19"/>
  <c r="U16" i="19"/>
  <c r="Y15" i="19"/>
  <c r="Q15" i="19"/>
  <c r="U14" i="19"/>
  <c r="Y13" i="19"/>
  <c r="Y22" i="19" s="1"/>
  <c r="Y31" i="19" s="1"/>
  <c r="P13" i="19"/>
  <c r="S12" i="19"/>
  <c r="W11" i="19"/>
  <c r="M11" i="19"/>
  <c r="S10" i="19"/>
  <c r="W9" i="19"/>
  <c r="M9" i="19"/>
  <c r="S8" i="19"/>
  <c r="F32" i="2"/>
  <c r="F33" i="4" s="1"/>
  <c r="N33" i="4" s="1"/>
  <c r="H22" i="19"/>
  <c r="H31" i="19" s="1"/>
  <c r="W13" i="19"/>
  <c r="M13" i="19"/>
  <c r="R12" i="19"/>
  <c r="R10" i="19"/>
  <c r="R8" i="19"/>
  <c r="H26" i="54"/>
  <c r="H27" i="54" s="1"/>
  <c r="I21" i="56"/>
  <c r="I22" i="56" s="1"/>
  <c r="L22" i="56" s="1"/>
  <c r="W19" i="19"/>
  <c r="W17" i="19"/>
  <c r="R16" i="19"/>
  <c r="R14" i="19"/>
  <c r="U13" i="19"/>
  <c r="Y12" i="19"/>
  <c r="P12" i="19"/>
  <c r="T11" i="19"/>
  <c r="V11" i="19" s="1"/>
  <c r="P10" i="19"/>
  <c r="T9" i="19"/>
  <c r="V9" i="19" s="1"/>
  <c r="P8" i="19"/>
  <c r="Q16" i="19"/>
  <c r="Y14" i="19"/>
  <c r="T13" i="19"/>
  <c r="V13" i="19" s="1"/>
  <c r="W12" i="19"/>
  <c r="M12" i="19"/>
  <c r="S11" i="19"/>
  <c r="W10" i="19"/>
  <c r="M10" i="19"/>
  <c r="S9" i="19"/>
  <c r="W8" i="19"/>
  <c r="M8" i="19"/>
  <c r="S13" i="19"/>
  <c r="W16" i="19"/>
  <c r="R13" i="19"/>
  <c r="U12" i="19"/>
  <c r="Y11" i="19"/>
  <c r="Q11" i="19"/>
  <c r="U10" i="19"/>
  <c r="Y9" i="19"/>
  <c r="Q9" i="19"/>
  <c r="Q22" i="19" s="1"/>
  <c r="Q31" i="19" s="1"/>
  <c r="U8" i="19"/>
  <c r="F111" i="2"/>
  <c r="N53" i="4"/>
  <c r="I53" i="4"/>
  <c r="F114" i="4"/>
  <c r="X7" i="31" l="1"/>
  <c r="Y7" i="31" s="1"/>
  <c r="J82" i="4"/>
  <c r="I89" i="4"/>
  <c r="J90" i="4" s="1"/>
  <c r="I109" i="4"/>
  <c r="J110" i="4" s="1"/>
  <c r="N109" i="4"/>
  <c r="I32" i="4"/>
  <c r="J42" i="4" s="1"/>
  <c r="J47" i="4"/>
  <c r="J106" i="4"/>
  <c r="J11" i="4"/>
  <c r="M22" i="19"/>
  <c r="M31" i="19" s="1"/>
  <c r="R22" i="19"/>
  <c r="R31" i="19" s="1"/>
  <c r="N35" i="19" s="1"/>
  <c r="N37" i="19" s="1"/>
  <c r="W22" i="19"/>
  <c r="W31" i="19" s="1"/>
  <c r="T22" i="19"/>
  <c r="D48" i="8"/>
  <c r="D49" i="8" s="1"/>
  <c r="D50" i="8"/>
  <c r="V22" i="19"/>
  <c r="V31" i="19" s="1"/>
  <c r="S22" i="19"/>
  <c r="S31" i="19" s="1"/>
  <c r="P22" i="19"/>
  <c r="P31" i="19" s="1"/>
  <c r="U22" i="19"/>
  <c r="U31" i="19" s="1"/>
  <c r="I54" i="4"/>
  <c r="J54" i="4" s="1"/>
  <c r="N54" i="4"/>
  <c r="T31" i="19" l="1"/>
  <c r="T34" i="19" s="1"/>
  <c r="I114" i="4"/>
  <c r="J112" i="4"/>
  <c r="L14" i="4" s="1"/>
  <c r="C51" i="5"/>
  <c r="C55" i="5" s="1"/>
  <c r="O25" i="31" l="1"/>
  <c r="O51" i="31" s="1"/>
  <c r="E50" i="31"/>
  <c r="R25" i="31"/>
  <c r="R51" i="31" s="1"/>
  <c r="U25" i="31"/>
  <c r="U51" i="31" s="1"/>
  <c r="I25" i="31"/>
  <c r="I51" i="31" s="1"/>
  <c r="F25" i="31"/>
  <c r="L25" i="31"/>
  <c r="L51" i="31" s="1"/>
  <c r="E54" i="31"/>
  <c r="E56" i="31" l="1"/>
  <c r="U50" i="31"/>
  <c r="R50" i="31"/>
  <c r="D13" i="31"/>
  <c r="D23" i="31"/>
  <c r="D29" i="31"/>
  <c r="D43" i="31"/>
  <c r="D34" i="31"/>
  <c r="D19" i="31"/>
  <c r="D10" i="31"/>
  <c r="D40" i="31"/>
  <c r="D37" i="31"/>
  <c r="D31" i="31"/>
  <c r="D16" i="31"/>
  <c r="D46" i="31"/>
  <c r="D7" i="31"/>
  <c r="O50" i="31"/>
  <c r="L50" i="31"/>
  <c r="D26" i="31"/>
  <c r="F51" i="31"/>
  <c r="X25" i="31"/>
  <c r="I50" i="31"/>
  <c r="Y50" i="31" l="1"/>
  <c r="Y25" i="31"/>
  <c r="D50" i="31"/>
  <c r="F52" i="31"/>
  <c r="I52" i="31" s="1"/>
  <c r="L52" i="31" s="1"/>
  <c r="O52" i="31" s="1"/>
  <c r="R52" i="31" s="1"/>
  <c r="U52" i="31" s="1"/>
  <c r="F50" i="31"/>
  <c r="X50" i="31" s="1"/>
  <c r="X51" i="31"/>
  <c r="Y52" i="31" l="1"/>
</calcChain>
</file>

<file path=xl/sharedStrings.xml><?xml version="1.0" encoding="utf-8"?>
<sst xmlns="http://schemas.openxmlformats.org/spreadsheetml/2006/main" count="2068" uniqueCount="615">
  <si>
    <t>DISCRIMINAÇÃO</t>
  </si>
  <si>
    <t>UNIDADE</t>
  </si>
  <si>
    <t>QUANTIDADE</t>
  </si>
  <si>
    <t>TERRAPLENAGEM</t>
  </si>
  <si>
    <t>m³</t>
  </si>
  <si>
    <t>m²</t>
  </si>
  <si>
    <t>DRENAGEM</t>
  </si>
  <si>
    <t>m</t>
  </si>
  <si>
    <t>unid</t>
  </si>
  <si>
    <t>x</t>
  </si>
  <si>
    <t>UNID.</t>
  </si>
  <si>
    <t>QUANT.</t>
  </si>
  <si>
    <t>P. UNIT.</t>
  </si>
  <si>
    <t>SUBTOTAL</t>
  </si>
  <si>
    <t>TOTAL</t>
  </si>
  <si>
    <t>CÓDIGO</t>
  </si>
  <si>
    <t>SERVIÇO</t>
  </si>
  <si>
    <t>MATERIAL</t>
  </si>
  <si>
    <t>UNID</t>
  </si>
  <si>
    <t>F.UTILIZAÇÃO</t>
  </si>
  <si>
    <t>PESO(T) A TRANSPORTAR</t>
  </si>
  <si>
    <t>DMT(KM)</t>
  </si>
  <si>
    <t>MOMENTO DE TRANSPORTE(t.km)</t>
  </si>
  <si>
    <t>FATOR</t>
  </si>
  <si>
    <t>Solo</t>
  </si>
  <si>
    <t>t/m³</t>
  </si>
  <si>
    <t>II</t>
  </si>
  <si>
    <t>III</t>
  </si>
  <si>
    <t xml:space="preserve">ANEXO </t>
  </si>
  <si>
    <t>VALOR (R$)</t>
  </si>
  <si>
    <t>VI</t>
  </si>
  <si>
    <t>TOTAL  GERAL</t>
  </si>
  <si>
    <t>ITEM</t>
  </si>
  <si>
    <t>2.0</t>
  </si>
  <si>
    <t>3.0</t>
  </si>
  <si>
    <t>3.2</t>
  </si>
  <si>
    <t>4.0</t>
  </si>
  <si>
    <t>4.1</t>
  </si>
  <si>
    <t>ÁREA (m²)</t>
  </si>
  <si>
    <t>3.1</t>
  </si>
  <si>
    <t>2.1</t>
  </si>
  <si>
    <t>1.0</t>
  </si>
  <si>
    <t>1.1</t>
  </si>
  <si>
    <t>1.2</t>
  </si>
  <si>
    <t>Aluguel container/sanit c/2 vasos/1 lavat/1 mic/4 chuv larg2,20m compr=6,20m alt=2,50m chapa aco c/nerv trapez forro c/isolam termo/acustico chassis reforc piso compens naval inclinst eletr/hidr excl transp/carga/descarga</t>
  </si>
  <si>
    <t>mês</t>
  </si>
  <si>
    <t>3.3</t>
  </si>
  <si>
    <t>3.4</t>
  </si>
  <si>
    <t>txkm</t>
  </si>
  <si>
    <t>LOGRADOURO</t>
  </si>
  <si>
    <t>ESTACAS</t>
  </si>
  <si>
    <t>EXTENSÃO (m)</t>
  </si>
  <si>
    <t>INICIAL</t>
  </si>
  <si>
    <t>FINAL</t>
  </si>
  <si>
    <t>CORTE (m³)</t>
  </si>
  <si>
    <t>ATERRO (m³)</t>
  </si>
  <si>
    <t>+</t>
  </si>
  <si>
    <t xml:space="preserve"> RESUMO  DOS  PREÇOS</t>
  </si>
  <si>
    <t xml:space="preserve">SERVIÇOS                    </t>
  </si>
  <si>
    <t xml:space="preserve">BATA BASE:  </t>
  </si>
  <si>
    <t xml:space="preserve">ÁREA (m²): </t>
  </si>
  <si>
    <t>DATA BASE:</t>
  </si>
  <si>
    <t>Despesas Financeiras</t>
  </si>
  <si>
    <t>Riscos</t>
  </si>
  <si>
    <t>CPRB</t>
  </si>
  <si>
    <t>PERCENTUAL</t>
  </si>
  <si>
    <t>BDI</t>
  </si>
  <si>
    <t>CUSTO OBRA</t>
  </si>
  <si>
    <t>Outras Fontes</t>
  </si>
  <si>
    <t>VALOR DA OBRA</t>
  </si>
  <si>
    <t>( % )</t>
  </si>
  <si>
    <t>R$</t>
  </si>
  <si>
    <t>ADMINISTRAÇÃO DA OBRA</t>
  </si>
  <si>
    <t>Administração Central</t>
  </si>
  <si>
    <t>1.3</t>
  </si>
  <si>
    <t>LUCRO</t>
  </si>
  <si>
    <t>Lucro Operacional</t>
  </si>
  <si>
    <t>TRIBUTOS</t>
  </si>
  <si>
    <t>Não incidem IRPJ e CSLL na composição de Tributos.</t>
  </si>
  <si>
    <t xml:space="preserve">TAXA DE BDI A SER APLICADA 
SOBRE O CUSTO DIRETO </t>
  </si>
  <si>
    <t xml:space="preserve">De acordo com o ACÓRDÃO Nº 2622/2013 – TCU – Plenário </t>
  </si>
  <si>
    <t>PREFEITURA MUNICIPAL DE VÁRZEA GRANDE</t>
  </si>
  <si>
    <t xml:space="preserve">B.D.I. </t>
  </si>
  <si>
    <t>Isolamento de obra com tela plástica com malha de 5mm e estrutura de madeira pontaleteada</t>
  </si>
  <si>
    <t>Limpeza mecanizada de área com remoção de camada vegetal, utilizando motoniveladora</t>
  </si>
  <si>
    <t>73822/002</t>
  </si>
  <si>
    <t>Regularização e compactação de subleito até 20 cm de espessura</t>
  </si>
  <si>
    <t>96387</t>
  </si>
  <si>
    <t>6.0</t>
  </si>
  <si>
    <t>6.1</t>
  </si>
  <si>
    <t>6.2</t>
  </si>
  <si>
    <t>VII</t>
  </si>
  <si>
    <t>Prazo ( dias consecutivos )</t>
  </si>
  <si>
    <t>Ítem</t>
  </si>
  <si>
    <t>Etapas de Serviço</t>
  </si>
  <si>
    <t>%</t>
  </si>
  <si>
    <t>Valor (R$)</t>
  </si>
  <si>
    <t>TOTAL ( % e R$ )</t>
  </si>
  <si>
    <t>DESEMBOLSO</t>
  </si>
  <si>
    <t xml:space="preserve"> SIMPLES</t>
  </si>
  <si>
    <t>ACUMULADO</t>
  </si>
  <si>
    <t>1.4</t>
  </si>
  <si>
    <t>Seguro e Garantia</t>
  </si>
  <si>
    <t>PIS</t>
  </si>
  <si>
    <t>COFINS</t>
  </si>
  <si>
    <t>ISSqn</t>
  </si>
  <si>
    <t>Formula para o calculo do BDI:</t>
  </si>
  <si>
    <t>ENSAIOS TECNOLÓGICOS DE SOLO E ASFALTO</t>
  </si>
  <si>
    <t>74021/003</t>
  </si>
  <si>
    <t>Ensaio de regularição de sub-leito</t>
  </si>
  <si>
    <t>74021/006</t>
  </si>
  <si>
    <t>74209/001</t>
  </si>
  <si>
    <t>Placa de obra em chapa de aço galvanizado</t>
  </si>
  <si>
    <t>7.0</t>
  </si>
  <si>
    <t>7.1</t>
  </si>
  <si>
    <t>8.0</t>
  </si>
  <si>
    <t>ADMINISTRAÇÃO LOCAL</t>
  </si>
  <si>
    <t>Execução de depósito em canteiro de obra</t>
  </si>
  <si>
    <t>Confecção de placa em aço nº 16 galvanizado, com película retrorrefletiva tipo I + III</t>
  </si>
  <si>
    <t>CODIGO</t>
  </si>
  <si>
    <t>BANCO</t>
  </si>
  <si>
    <t>SINAPI</t>
  </si>
  <si>
    <t>SICRO 3</t>
  </si>
  <si>
    <t>B.D.I. DIFERENCIADO</t>
  </si>
  <si>
    <t>SICRO 03</t>
  </si>
  <si>
    <t>74219/001</t>
  </si>
  <si>
    <t>Passadicos de madeira para pedestres</t>
  </si>
  <si>
    <t>Escavação mecanizada de vala com prof. até 1,5 m (média entre montante e jusante/uma composição por trecho), com retroescavadeira (0,26 m3/88 hp), larg. de 1,5 m a 2,5 m, em solo de 1a categoria, em locais com baixo nível de interferência. af_01/2015</t>
  </si>
  <si>
    <t>74010/001</t>
  </si>
  <si>
    <t>Carga e descarga mecânica de solo utilizando caminhão basculante 5m³ /11t e pa carregadeira sobre pneus * 105 hp * cap. 1,72m3</t>
  </si>
  <si>
    <t>Espalhamento de material em bota fora, com utilizacao de trator de esteiras de 165 HP</t>
  </si>
  <si>
    <t>ÓRGÃOS ACESSÓRIOS</t>
  </si>
  <si>
    <t>MEMÓRIA DE CÁLCULO DE VOLUMES DA DRENAGEM</t>
  </si>
  <si>
    <t>DIAMETRO (m)</t>
  </si>
  <si>
    <t xml:space="preserve">LARGURA </t>
  </si>
  <si>
    <t>CORTE</t>
  </si>
  <si>
    <t xml:space="preserve">CORTE </t>
  </si>
  <si>
    <t>ALTURA MEDIA</t>
  </si>
  <si>
    <t>VOLUME</t>
  </si>
  <si>
    <t>AREA FUNDO DE VALA</t>
  </si>
  <si>
    <t>MEDIA DE ESC</t>
  </si>
  <si>
    <t>MONTANTE</t>
  </si>
  <si>
    <t>JUZANTE</t>
  </si>
  <si>
    <t>DOS CORTES</t>
  </si>
  <si>
    <t>BOCAS DE LOBOS SIMPLES</t>
  </si>
  <si>
    <t>ESCAVAÇÃO</t>
  </si>
  <si>
    <t>ÁREA</t>
  </si>
  <si>
    <t>Poço de Visita</t>
  </si>
  <si>
    <t>TUBO 600MM</t>
  </si>
  <si>
    <t>TUBO 800MM</t>
  </si>
  <si>
    <t>TUBO 1000MM</t>
  </si>
  <si>
    <t>TUBO 1200MM</t>
  </si>
  <si>
    <t>BOCA DE LOBO DUPLA (UNIDADES)</t>
  </si>
  <si>
    <t>REGULARIZAÇÃO DE FUNDO DE VALA</t>
  </si>
  <si>
    <t>FORRO DE PEDRA DE MÃO</t>
  </si>
  <si>
    <t>BOTA-FORA ESCAVAÇÃO DE DRENO PROFUNDO</t>
  </si>
  <si>
    <t xml:space="preserve">DE CORTE </t>
  </si>
  <si>
    <t>ESCAVAÇÃO DE VALAS</t>
  </si>
  <si>
    <t>EXTENSÃO:</t>
  </si>
  <si>
    <t>A</t>
  </si>
  <si>
    <t>P. UNIT. C/BDI</t>
  </si>
  <si>
    <t>4.4</t>
  </si>
  <si>
    <t>Carga, manobras e descarga de areia, brita, pedra de mao e solos com caminhao basculante 6 m3 (descarga livre)</t>
  </si>
  <si>
    <t>BOCA DE LOBO TRIPLA (UNIDADES)</t>
  </si>
  <si>
    <t>LASTRO DE BRITA</t>
  </si>
  <si>
    <t>4.2</t>
  </si>
  <si>
    <t>4.5</t>
  </si>
  <si>
    <t>PLANILHA ORÇAMENTÁRIA (NÃO DESONERADO)</t>
  </si>
  <si>
    <t>NÃO DESONERADO</t>
  </si>
  <si>
    <t>Lastro de pedra de mão</t>
  </si>
  <si>
    <t>VIII</t>
  </si>
  <si>
    <t>Reaterro mecanizado de vala com retroescavadeira (capacidade da caçamb a da retro: 0,26 m³ / potência: 88 hp), largura de 0,8 a 1,5 m, profun didade de 1,5 a 3,0 m, com solo (sem substituição) de 1ª categoria em locais com baixo nível de interferência. af_04/2016</t>
  </si>
  <si>
    <t>9.0</t>
  </si>
  <si>
    <t>IX</t>
  </si>
  <si>
    <t>9.1</t>
  </si>
  <si>
    <t>9.2</t>
  </si>
  <si>
    <t>COMP. DO LANCE</t>
  </si>
  <si>
    <t>TUBULAÇÃO</t>
  </si>
  <si>
    <t>TUBO 600MM (23 RAMAL)</t>
  </si>
  <si>
    <t xml:space="preserve">TOTAL DE BOTA FORA </t>
  </si>
  <si>
    <t xml:space="preserve">REATERRO E COMPACTAÇÃO DE VALAS </t>
  </si>
  <si>
    <t>7.2</t>
  </si>
  <si>
    <t>BDI - BENEFICIOS E DESPESAS INDIRETAS - NÃO DESONERADO</t>
  </si>
  <si>
    <t>PAVIMENTAÇÃO DE VIAS URBANAS</t>
  </si>
  <si>
    <t>Ensaio de Sub-base estabilizada granulometricamente)</t>
  </si>
  <si>
    <t>Ensaio de base estabilizada granulometricamente</t>
  </si>
  <si>
    <t>74022/030</t>
  </si>
  <si>
    <t>un</t>
  </si>
  <si>
    <t>PAVIMENTAÇÃO</t>
  </si>
  <si>
    <t>Pintura de ligação com emulsão RR-2C</t>
  </si>
  <si>
    <t>SINALIZAÇÃO HORIZONTAL/VERTICAL</t>
  </si>
  <si>
    <t>Sinalizacao horizontal com tinta retrorrefletiva a base de resina acrilica  c/ micro esfera de vidro</t>
  </si>
  <si>
    <t>Pintura de setas e zebrados - tinta base acrílica - espessura de 0,6 mm</t>
  </si>
  <si>
    <t>Fornecimento e implantação de suporte metálico galvanizado para placa de regulamentação - R1 - lado de 0,248 m</t>
  </si>
  <si>
    <t>OBRAS COMPLEMENTARES</t>
  </si>
  <si>
    <t>TERRAPLENAGEM E PAVIMENTAÇÃO</t>
  </si>
  <si>
    <t>SUBLEITO (m²)</t>
  </si>
  <si>
    <t>SUB-BASE (m³)</t>
  </si>
  <si>
    <t>BASE (m³)</t>
  </si>
  <si>
    <t>IMPRIM. (m²)</t>
  </si>
  <si>
    <t>MEIO-FIO C/ SARJETA  (m)</t>
  </si>
  <si>
    <t>LOCAL - Dist.</t>
  </si>
  <si>
    <t>SINAL DE PLACA</t>
  </si>
  <si>
    <t>OBSERVAÇÕES</t>
  </si>
  <si>
    <t>do bordo (Metros)</t>
  </si>
  <si>
    <t>TIPO</t>
  </si>
  <si>
    <t>DIMENSÕES</t>
  </si>
  <si>
    <t>ÁREAS(m²)</t>
  </si>
  <si>
    <t>Regulamentação</t>
  </si>
  <si>
    <t>Indicativa</t>
  </si>
  <si>
    <t>TOTAL (m²)</t>
  </si>
  <si>
    <t>TOTAL (un)</t>
  </si>
  <si>
    <t>massa</t>
  </si>
  <si>
    <t>COMP.</t>
  </si>
  <si>
    <t>BLD - Boca de lobo dupla, c/abertura pela guia 1,00m - conforme protjeto tipo</t>
  </si>
  <si>
    <t>10.0</t>
  </si>
  <si>
    <t>X</t>
  </si>
  <si>
    <t>10.1</t>
  </si>
  <si>
    <t>Assentamento de tubo de concreto para redes coletoras de águas pluviais, diâmetro de 600 mm, junta rígida, instalado em local com alto nível</t>
  </si>
  <si>
    <t>10.2</t>
  </si>
  <si>
    <t>Caixa coletora de talvegue CCT01</t>
  </si>
  <si>
    <t>Assentamento de tubo de concreto para redes coletoras de águas pluviais, diâmetro de 800 mm, junta rígida, instalado em local com alto nível</t>
  </si>
  <si>
    <t>Escavação mecânica de vala em material de 2A. cat de 2,01 até 4,00 M de profundidade com utilização de escavadeira hidráulica</t>
  </si>
  <si>
    <t>Escoramento de vala, tipo pontaleteamento, com profundidade de 0 a 1,5 m, largura maior ou igual a 1,5 m e menor que 2,5 m, em local com nível alto de interferência. af_06/2016</t>
  </si>
  <si>
    <t>I</t>
  </si>
  <si>
    <t>SERVIÇOS PRELIMINARES</t>
  </si>
  <si>
    <t>7.3</t>
  </si>
  <si>
    <t>XI</t>
  </si>
  <si>
    <t>LARGURA   (m)</t>
  </si>
  <si>
    <t>ACOST. LE + (FOLGA)</t>
  </si>
  <si>
    <t>PISTA LD</t>
  </si>
  <si>
    <t>ACOST. LD + (FOLGA)</t>
  </si>
  <si>
    <t>PISTA LE</t>
  </si>
  <si>
    <t>LIMPEZA DE CAMADA VEGETAL (m²)</t>
  </si>
  <si>
    <t>PINTURA DE LIGAÇÃO. (m²)</t>
  </si>
  <si>
    <t>Reto</t>
  </si>
  <si>
    <t>Curvo</t>
  </si>
  <si>
    <t>11.0</t>
  </si>
  <si>
    <t>TUBO 1500MM</t>
  </si>
  <si>
    <t>VOLUME DE BERÇO DE CASCALHO REATERRO</t>
  </si>
  <si>
    <t>DIÂMETRO</t>
  </si>
  <si>
    <t xml:space="preserve">L  </t>
  </si>
  <si>
    <t>e</t>
  </si>
  <si>
    <t>a</t>
  </si>
  <si>
    <t>b</t>
  </si>
  <si>
    <t xml:space="preserve"> Volume</t>
  </si>
  <si>
    <t>DIÂMETRO EXT.</t>
  </si>
  <si>
    <t>Espalhamento de material em bota fora, com utilização de trator de esteiras de 165 hp</t>
  </si>
  <si>
    <t>BLS - Boca de lobo simples, c/abertura pela guia 1,00m - conforme protjeto tipo</t>
  </si>
  <si>
    <t>Poço de visita - PVI 04 - areia e brita comerciais</t>
  </si>
  <si>
    <t>8.2</t>
  </si>
  <si>
    <t>8.4</t>
  </si>
  <si>
    <t>8.1</t>
  </si>
  <si>
    <t>Ensaio de resistência a compressão simples do concreto - meio-fio, sarjetas e calçadas (considerado 1,0 amostra a cada 200 m)</t>
  </si>
  <si>
    <t>8.3</t>
  </si>
  <si>
    <t xml:space="preserve">ASSENTAMENTO DE TUBO DE CONCRETO </t>
  </si>
  <si>
    <t>SENTIDO</t>
  </si>
  <si>
    <t>COMPRIMENTO</t>
  </si>
  <si>
    <t>ESPESSURA</t>
  </si>
  <si>
    <t>Área</t>
  </si>
  <si>
    <t>TIPO DE PINTURA</t>
  </si>
  <si>
    <t>(m)</t>
  </si>
  <si>
    <t>(m²)</t>
  </si>
  <si>
    <t>Ambos (ida e volta)</t>
  </si>
  <si>
    <t>2X4</t>
  </si>
  <si>
    <t>Contínua</t>
  </si>
  <si>
    <t>FAIXA AMARELA</t>
  </si>
  <si>
    <t>Descontínua</t>
  </si>
  <si>
    <t xml:space="preserve">TOTAL </t>
  </si>
  <si>
    <t>EXTENSÃO TOTAL</t>
  </si>
  <si>
    <t>RESUMO DA SINALIZAÇÃO</t>
  </si>
  <si>
    <t>FAIXA BRANCA CONTÍNUA</t>
  </si>
  <si>
    <t>FAIXA BRANCA RETENÇÃO 0,40m</t>
  </si>
  <si>
    <t>FAIXA AMARELA 2X4</t>
  </si>
  <si>
    <t>FAIXA AMARELA CONTÍNUA</t>
  </si>
  <si>
    <t>TOTAL DE PINTURA DE FAIXAS</t>
  </si>
  <si>
    <t xml:space="preserve">SETAS  E ZEBRADOS </t>
  </si>
  <si>
    <t>TACHAS E TACHÕES</t>
  </si>
  <si>
    <t>FAIXA BRANCA SECCIONADA 2X4m</t>
  </si>
  <si>
    <t/>
  </si>
  <si>
    <t>1V</t>
  </si>
  <si>
    <t>5.0</t>
  </si>
  <si>
    <t>5.1</t>
  </si>
  <si>
    <t>5.2</t>
  </si>
  <si>
    <t>5.4</t>
  </si>
  <si>
    <t>5.5</t>
  </si>
  <si>
    <t>5.6</t>
  </si>
  <si>
    <t>5.7</t>
  </si>
  <si>
    <t>5.8</t>
  </si>
  <si>
    <t>5.9</t>
  </si>
  <si>
    <t>5.10</t>
  </si>
  <si>
    <t>m³/m³</t>
  </si>
  <si>
    <t>4.3</t>
  </si>
  <si>
    <t>solo</t>
  </si>
  <si>
    <t>t/km</t>
  </si>
  <si>
    <t>BOCAS DE LOBOS DUPLAS</t>
  </si>
  <si>
    <t>BOCAS DE LOBOS TRIPLAS</t>
  </si>
  <si>
    <t>Guia (meio-fio) e sarjeta conjugados de concreto, moldada i n loco em trecho
reto com extrusora, guia 13 cm base x 22 cm altura. af_06/2016</t>
  </si>
  <si>
    <t>Guia (meio-fio) e sarjeta conjugados de concreto, moldada i n loco em trecho
curvo com extrusora, guia 13 cm base x 22 cm altura. af_06/2016</t>
  </si>
  <si>
    <t>73916/002</t>
  </si>
  <si>
    <t>Placa esmaltada para identificação NR de Rua, dimensões 45X25cm</t>
  </si>
  <si>
    <t>3.5</t>
  </si>
  <si>
    <t>V</t>
  </si>
  <si>
    <t>Caixa de ligação de passagem</t>
  </si>
  <si>
    <t>TUBO LIGAÇÃO E PASSAGEM</t>
  </si>
  <si>
    <t>TUBO</t>
  </si>
  <si>
    <t>R-01</t>
  </si>
  <si>
    <t>I-01</t>
  </si>
  <si>
    <t>45X25 CM</t>
  </si>
  <si>
    <t>comp. 01</t>
  </si>
  <si>
    <t>TOTAL/km (R$)</t>
  </si>
  <si>
    <t>km</t>
  </si>
  <si>
    <t>IV</t>
  </si>
  <si>
    <t>OBRA: PAVIMENTAÇÃO DE VIAS URBANAS</t>
  </si>
  <si>
    <t>BAIRRO: JARDIM PAULA II</t>
  </si>
  <si>
    <t>6.3</t>
  </si>
  <si>
    <t>11.1</t>
  </si>
  <si>
    <t>PREFEITURA MUNICIPAL DE VARZEA GRANDE</t>
  </si>
  <si>
    <t>NOTA DE SERVIÇO DRENO PROFUNDO</t>
  </si>
  <si>
    <t>OBS.</t>
  </si>
  <si>
    <t xml:space="preserve">Ø TUBO PEAD(mm) </t>
  </si>
  <si>
    <t xml:space="preserve">LE </t>
  </si>
  <si>
    <t>LD</t>
  </si>
  <si>
    <t>TOTAL TUBO DE DRENO PROFUNDO</t>
  </si>
  <si>
    <t>Dreno longitudinal profundo para corte em solo - DPS 13 - tubo PEAD e brita comercial</t>
  </si>
  <si>
    <t>REFORÇO SUBLEITO (m³)</t>
  </si>
  <si>
    <t>Ensaio de reforço do subleito estabilizada granulometricamente)</t>
  </si>
  <si>
    <t>5.3</t>
  </si>
  <si>
    <t>11.2</t>
  </si>
  <si>
    <t>4.6</t>
  </si>
  <si>
    <t>BAIRRO: SÃO SÃO SIMÃO</t>
  </si>
  <si>
    <t>OBRA: Pavimentação</t>
  </si>
  <si>
    <t>Dissipador de energia - DEB 05 - areia e pedra de mão comerciais</t>
  </si>
  <si>
    <t>Rua das Palmas</t>
  </si>
  <si>
    <t>Rua 07</t>
  </si>
  <si>
    <t>Rua B</t>
  </si>
  <si>
    <t>Rua Santos Dumont</t>
  </si>
  <si>
    <t>Rua Projetada C</t>
  </si>
  <si>
    <t>Rua Antônio Sotero de Almeida</t>
  </si>
  <si>
    <t>Rua Cel. José Augusto Gomes</t>
  </si>
  <si>
    <t xml:space="preserve">Rua das Papoulas </t>
  </si>
  <si>
    <t>Rua Maria Quitéria de Medeiros</t>
  </si>
  <si>
    <t>ALTO DA BOA VISTA                                                        LOGRADOURO</t>
  </si>
  <si>
    <t>Travessa da  Fernanda</t>
  </si>
  <si>
    <t>Rua das Tulipas</t>
  </si>
  <si>
    <t>Beco1</t>
  </si>
  <si>
    <t>RUA  S/D</t>
  </si>
  <si>
    <t>BASE DE AREIa(m³)</t>
  </si>
  <si>
    <t>Ruas das Rosas</t>
  </si>
  <si>
    <t>TOTAL GERAL</t>
  </si>
  <si>
    <t>Ruas: das Tulipas, Travessa da Fernanda, das Palmas, o7, Maria Quitéria de Medeiros, B, Santos Dumont, Projetada C, Antônio Sotero de Almeida, Coronel José Augusto Gomes, das Papoulas, das Rosas, Beco 1 e S/D.</t>
  </si>
  <si>
    <t>RUA SANTOS DUMOND</t>
  </si>
  <si>
    <t>BLS</t>
  </si>
  <si>
    <t>RUA 07</t>
  </si>
  <si>
    <t>BLD</t>
  </si>
  <si>
    <t>RUA B</t>
  </si>
  <si>
    <t>RUA ANTÔNIO SANTERO DE ALMEIDA</t>
  </si>
  <si>
    <t>RUA JOSÉ AUGUSTO GOMES</t>
  </si>
  <si>
    <t>RUA DAS PAPOULAS</t>
  </si>
  <si>
    <t>RUA TULIPAS</t>
  </si>
  <si>
    <t>RUA SANTOS DOMUND, RUA 07 , RUA ANTÔNIO SANTERO DE ALMEIDA, RUA JOSÉ AUGUSTO GOMES, RUA DAS PAPOULAS E RUA TULIPAS</t>
  </si>
  <si>
    <t>Chaminé dos poços de visita - CPV 04 - areia e brita comerciais</t>
  </si>
  <si>
    <t>Boca BTTC D = 1,00 m - esconsidade 0° - areia e brita comerciais - alas esconsas</t>
  </si>
  <si>
    <t>Boca BTTC D = 1,00 m - esconsidade 45° - areia e brita comerciais - alas esconsas</t>
  </si>
  <si>
    <t>Corpo de BTTC D = 1,00 m CA3 - areia, brita e pedra de mão comerciais</t>
  </si>
  <si>
    <t>Entrada para descida d'água - EDA 03 - areia e brita comerciais</t>
  </si>
  <si>
    <t>Descida d'água de aterros tipo rápido - DAR 03 - areia e brita comerciais</t>
  </si>
  <si>
    <t>Caixa coletora de talvegue - CCT 01 - areia e brita comerciais</t>
  </si>
  <si>
    <t>Execução de pavimento em piso intertravado, com bloco pisograma de 35 x 25 cm, espessura 8 cm. Af_12/2015</t>
  </si>
  <si>
    <t>RUA DAS TULIPAS</t>
  </si>
  <si>
    <t>RUA SANTOS DUMONT</t>
  </si>
  <si>
    <t>Boca BDTC D = 0,80 m - esconsidade 0° - areia e brita comerciais - alas retas</t>
  </si>
  <si>
    <t>Remoção de tubos de concreto em valas e bueiros - D = 800 mm</t>
  </si>
  <si>
    <t>SICRO</t>
  </si>
  <si>
    <t>FORNECIMENTO DE TUBOS TIPO PA-3</t>
  </si>
  <si>
    <t>Tubo concreto armado, classe PA-3, pb, dn 800 mm, para aguas pluviais (nbr 8890)</t>
  </si>
  <si>
    <t>RUA PROJETADA C</t>
  </si>
  <si>
    <t>RUA ANTONIO SANTERO DE ALMEIDA</t>
  </si>
  <si>
    <t>TRAVESSA DA FERNANDA</t>
  </si>
  <si>
    <t>RUA CEL. JOSÉ AUGUSTO GOMES</t>
  </si>
  <si>
    <t>RUA DAS PALMAS</t>
  </si>
  <si>
    <t>RUA DAS ROSAS</t>
  </si>
  <si>
    <t>Esquina com Joaquin Martins Pereira estaca 0+0,00 (posicionar a 10 metros do bordo da pista transversal)</t>
  </si>
  <si>
    <t>Esquina com Tulipas estaca 13+12,719 (posicionar a 10 metros do bordo da pista transversal)</t>
  </si>
  <si>
    <t>Esquina com Santos Dumond estaca 0+0,00 (posicionar a 10 metros do bordo da pista transversal)</t>
  </si>
  <si>
    <t>Esquina com Rua Tulipas estaca 7+17,990 (posicionar a 10 metros do bordo da pista transversal)</t>
  </si>
  <si>
    <t>Esquina com Rua 07 estaca 7+16,505 (posicionar a 10 metros do bordo da pista transversal)</t>
  </si>
  <si>
    <t>Esquina com Rua Tulipas estaca 7+7,971 (posicionar a 10 metros do bordo da pista transversal)</t>
  </si>
  <si>
    <t>Esquina com Rua  Tulipas na estaca 7+8,526 (posicionar a 10 metros do bordo da pista transversal)</t>
  </si>
  <si>
    <t>Esquina com Rua Tulipas  estaca 11+4,902 (posicionar a 10 metros do bordo da pista transversal)</t>
  </si>
  <si>
    <t>Esquina com Rua Antonio Santero de Almeida estaca 4+2,016 (posicionar a 10 metros do bordo da pista transversal)</t>
  </si>
  <si>
    <t>Esquina com Rua Cel. José Augusto Gomes estaca 0+0,00 (posicionar a 10 metros do bordo da pista transversal)</t>
  </si>
  <si>
    <t>Esquina com Rua  Tulipas na estaca 7+9,658 (posicionar a 10 metros do bordo da pista transversal)</t>
  </si>
  <si>
    <t>Esquina com Rua Das Palmas estaca 0+0,000 (posicionar a 10 metros do bordo da pista transversal)</t>
  </si>
  <si>
    <t>Esquina com Rua  Tulipas na estaca 7+5,684 (posicionar a 10 metros do bordo da pista transversal)</t>
  </si>
  <si>
    <t>Esquina com Rua Valter Fontana estaca 7+6,131 (posicionar a 10 metros do bordo da pista transversal)</t>
  </si>
  <si>
    <t>RUA MARIA QUITERA DE MEDEIROS</t>
  </si>
  <si>
    <t>Esquina com Rua  Tulipas na estaca 0+0,00 (posicionar a 10 metros do bordo da pista transversal)</t>
  </si>
  <si>
    <t>RUA S/D</t>
  </si>
  <si>
    <t>BECO  01</t>
  </si>
  <si>
    <t>Esquina com AV. A na estaca 0+0,00 (posicionar a 10 metros do bordo da pista transversal)</t>
  </si>
  <si>
    <t>Esquina com Rua Valter Fontana estaca 26+12,407 (posicionar a 10 metros do bordo da pista transversal)</t>
  </si>
  <si>
    <t>RUA MARIAA QUITERA DE MEDEIROS</t>
  </si>
  <si>
    <t>Tubo concreto armado, classe PA-3, pb, dn 600 mm, para aguas pluviais (nbr 8890)</t>
  </si>
  <si>
    <t>7.4</t>
  </si>
  <si>
    <t>COMP 1.1</t>
  </si>
  <si>
    <t>Composição</t>
  </si>
  <si>
    <t>COMP 1.3</t>
  </si>
  <si>
    <t>COMP 2.1</t>
  </si>
  <si>
    <t>Administração Local</t>
  </si>
  <si>
    <t>COMP 3.1</t>
  </si>
  <si>
    <t>COMP 3.2</t>
  </si>
  <si>
    <t>COMP 3.3</t>
  </si>
  <si>
    <t>COMP 3.4</t>
  </si>
  <si>
    <t>COMP. 4.1</t>
  </si>
  <si>
    <t>Transporte com caminhão basculante de 10 m³ - rodovia com revestimento primário</t>
  </si>
  <si>
    <t>COMP. 4.3</t>
  </si>
  <si>
    <t>Transporte com caminhão basculante de 10 m³ - rodovia pavimentada</t>
  </si>
  <si>
    <t>COMP. 4.6</t>
  </si>
  <si>
    <t>5501700</t>
  </si>
  <si>
    <t>Desmatamento, destocamento, limpeza de área e estocagem do material de limpeza com árvores de diâmetro até 0,15 m jazida</t>
  </si>
  <si>
    <t>MÊS DE REFERENCIA - JANEIRO DE 2021</t>
  </si>
  <si>
    <t>INDICE DE REAJUSTAMENTO: Conforme Portaria DNIT nº 1977 de 25/10/2017</t>
  </si>
  <si>
    <t>TRANSPORTES DE MATERIAIS BETUMINOSOS EM RODOVIA</t>
  </si>
  <si>
    <t>OPÇÃO 1</t>
  </si>
  <si>
    <t>ORIGEM:</t>
  </si>
  <si>
    <t>CUIABÁ-MT</t>
  </si>
  <si>
    <t>CAMINHÃO:</t>
  </si>
  <si>
    <t>2S3 - Caminhão tanque de asfalto com capacidade de 25t - 5 eixos</t>
  </si>
  <si>
    <t>Cálculo conforme Portaria N° 1078 de 25 de outubro de 2017</t>
  </si>
  <si>
    <t>Natureza do Tranporte</t>
  </si>
  <si>
    <t>Equação (1)</t>
  </si>
  <si>
    <t>DMT (km) (2)</t>
  </si>
  <si>
    <t xml:space="preserve">Custo (R$/t)                         (3) = (1x2) </t>
  </si>
  <si>
    <t>Capacid. Transp. Caminhão 25t                 (4)= (3)/25</t>
  </si>
  <si>
    <t>Reajustamento</t>
  </si>
  <si>
    <t>Custo Final</t>
  </si>
  <si>
    <t xml:space="preserve">Io </t>
  </si>
  <si>
    <t>Ii</t>
  </si>
  <si>
    <t>Índice Reajuste</t>
  </si>
  <si>
    <t>(km/t)</t>
  </si>
  <si>
    <t>COT 4/5/6</t>
  </si>
  <si>
    <t>Rodovia Pavimentada</t>
  </si>
  <si>
    <t>(26,939+0,253xD)</t>
  </si>
  <si>
    <t>PEDÁGIO</t>
  </si>
  <si>
    <t>Valor Unitário</t>
  </si>
  <si>
    <t>Nº de Eixos</t>
  </si>
  <si>
    <t>OBS: Para o reajustamento do pedagio foi utilizado o ultimo indice de reajustamento disponivel pelo DNIT de agosto de 2020.</t>
  </si>
  <si>
    <t>NATUREZA DO TRANSPORTE</t>
  </si>
  <si>
    <t>EQUAÇÕES TARIFÁRIAS DE TRANSPORTES</t>
  </si>
  <si>
    <t>Rodovia em revestimento primário</t>
  </si>
  <si>
    <t>(26,939+0,299xD)</t>
  </si>
  <si>
    <t>Rodovia em leito natural</t>
  </si>
  <si>
    <t>(26,939+0,412xD)</t>
  </si>
  <si>
    <t>MÊS DE REFERENCIA - ABRIL DE 2020</t>
  </si>
  <si>
    <t>OPÇÃO 2</t>
  </si>
  <si>
    <t>OPÇÃO 3</t>
  </si>
  <si>
    <t>BETIM-MG</t>
  </si>
  <si>
    <t>PAULÍNIA - SP</t>
  </si>
  <si>
    <t>INCIDENCIA DE ICMS 18% (4) = (3/(1-0,18)</t>
  </si>
  <si>
    <t>Capacid. Transp. Caminhão 25t               (4)= (3/25)</t>
  </si>
  <si>
    <t>Rondonópilis (BR 163)</t>
  </si>
  <si>
    <t>Campo Verde (BR 163)</t>
  </si>
  <si>
    <t>Santo Antonio do Leverger (BR 163)</t>
  </si>
  <si>
    <r>
      <rPr>
        <b/>
        <i/>
        <sz val="8"/>
        <rFont val="Arial"/>
        <family val="2"/>
      </rPr>
      <t xml:space="preserve">ESTUDO DAS OPÇÕES DE AQUISIÇÃO E TRANSPORTE DOS MATERIAIS BETUMINOSOS
</t>
    </r>
    <r>
      <rPr>
        <b/>
        <i/>
        <sz val="8"/>
        <rFont val="Arial"/>
        <family val="2"/>
      </rPr>
      <t>BINÔMIO "AQUISIÇÃO + TRANSPORTE"</t>
    </r>
  </si>
  <si>
    <t>AQUISIÇÃO E TRANSPORTE DOS MATERIAIS BETUMINOSOS</t>
  </si>
  <si>
    <r>
      <rPr>
        <b/>
        <sz val="7"/>
        <rFont val="Arial"/>
        <family val="2"/>
      </rPr>
      <t>OPÇÃO 1 - MATO GROSSO</t>
    </r>
  </si>
  <si>
    <r>
      <rPr>
        <b/>
        <sz val="7"/>
        <color indexed="9"/>
        <rFont val="Arial"/>
        <family val="2"/>
      </rPr>
      <t>- Insumos Betuminosos -</t>
    </r>
  </si>
  <si>
    <t>AQUISIÇÃO DE MATERIAIS BETUMINOSOS</t>
  </si>
  <si>
    <r>
      <rPr>
        <sz val="7"/>
        <rFont val="Arial"/>
        <family val="2"/>
      </rPr>
      <t>SICRO</t>
    </r>
  </si>
  <si>
    <r>
      <rPr>
        <sz val="7"/>
        <rFont val="Arial"/>
        <family val="2"/>
      </rPr>
      <t>MATERIAL</t>
    </r>
  </si>
  <si>
    <r>
      <rPr>
        <sz val="7"/>
        <rFont val="Arial"/>
        <family val="2"/>
      </rPr>
      <t xml:space="preserve">BASE
</t>
    </r>
    <r>
      <rPr>
        <sz val="7"/>
        <rFont val="Arial"/>
        <family val="2"/>
      </rPr>
      <t>DE PREÇO</t>
    </r>
  </si>
  <si>
    <r>
      <rPr>
        <sz val="7"/>
        <rFont val="Arial"/>
        <family val="2"/>
      </rPr>
      <t xml:space="preserve">CUSTO
</t>
    </r>
    <r>
      <rPr>
        <i/>
        <sz val="7"/>
        <rFont val="Arial"/>
        <family val="2"/>
      </rPr>
      <t>em kg</t>
    </r>
  </si>
  <si>
    <r>
      <rPr>
        <sz val="7"/>
        <rFont val="Arial"/>
        <family val="2"/>
      </rPr>
      <t xml:space="preserve">CUSTO
</t>
    </r>
    <r>
      <rPr>
        <i/>
        <sz val="7"/>
        <rFont val="Arial"/>
        <family val="2"/>
      </rPr>
      <t>em ton</t>
    </r>
  </si>
  <si>
    <r>
      <rPr>
        <sz val="7"/>
        <rFont val="Arial"/>
        <family val="2"/>
      </rPr>
      <t xml:space="preserve">Impostos
</t>
    </r>
    <r>
      <rPr>
        <i/>
        <sz val="6"/>
        <rFont val="Arial"/>
        <family val="2"/>
      </rPr>
      <t>ICMS+PIS+COFINS</t>
    </r>
  </si>
  <si>
    <r>
      <rPr>
        <sz val="7"/>
        <rFont val="Arial"/>
        <family val="2"/>
      </rPr>
      <t>BASE DO FORN.</t>
    </r>
  </si>
  <si>
    <r>
      <rPr>
        <sz val="7"/>
        <rFont val="Arial"/>
        <family val="2"/>
      </rPr>
      <t>Custo com Impostos</t>
    </r>
  </si>
  <si>
    <r>
      <rPr>
        <sz val="7"/>
        <rFont val="Arial"/>
        <family val="2"/>
      </rPr>
      <t xml:space="preserve">CUSTO TPTE
</t>
    </r>
    <r>
      <rPr>
        <i/>
        <sz val="7"/>
        <rFont val="Arial"/>
        <family val="2"/>
      </rPr>
      <t>Rod. Pav.(R$/ton)</t>
    </r>
  </si>
  <si>
    <r>
      <rPr>
        <sz val="7"/>
        <rFont val="Arial"/>
        <family val="2"/>
      </rPr>
      <t xml:space="preserve">CUSTO TPTE
</t>
    </r>
    <r>
      <rPr>
        <i/>
        <sz val="7"/>
        <rFont val="Arial"/>
        <family val="2"/>
      </rPr>
      <t>Rev. prim.(R$/ton)</t>
    </r>
  </si>
  <si>
    <r>
      <rPr>
        <sz val="7"/>
        <rFont val="Arial"/>
        <family val="2"/>
      </rPr>
      <t xml:space="preserve">CUSTO TPTE
</t>
    </r>
    <r>
      <rPr>
        <i/>
        <sz val="7"/>
        <rFont val="Arial"/>
        <family val="2"/>
      </rPr>
      <t>L. Nat. (R$/ton)</t>
    </r>
  </si>
  <si>
    <r>
      <rPr>
        <b/>
        <sz val="7"/>
        <rFont val="Arial"/>
        <family val="2"/>
      </rPr>
      <t xml:space="preserve">Pr. Unitário
</t>
    </r>
    <r>
      <rPr>
        <b/>
        <i/>
        <sz val="7"/>
        <rFont val="Arial"/>
        <family val="2"/>
      </rPr>
      <t>c/ bdi (15,00%)</t>
    </r>
  </si>
  <si>
    <t>M1943</t>
  </si>
  <si>
    <t>CAP 50-70</t>
  </si>
  <si>
    <r>
      <rPr>
        <sz val="7"/>
        <rFont val="Arial"/>
        <family val="2"/>
      </rPr>
      <t>UF</t>
    </r>
  </si>
  <si>
    <r>
      <rPr>
        <sz val="7"/>
        <rFont val="Arial"/>
        <family val="2"/>
      </rPr>
      <t>Cuiabá</t>
    </r>
  </si>
  <si>
    <r>
      <rPr>
        <sz val="7"/>
        <rFont val="Arial"/>
        <family val="2"/>
      </rPr>
      <t>-</t>
    </r>
  </si>
  <si>
    <t>COT 1</t>
  </si>
  <si>
    <r>
      <rPr>
        <sz val="7"/>
        <rFont val="Arial"/>
        <family val="2"/>
      </rPr>
      <t>M0104</t>
    </r>
  </si>
  <si>
    <r>
      <rPr>
        <sz val="7"/>
        <rFont val="Arial"/>
        <family val="2"/>
      </rPr>
      <t>CM 30</t>
    </r>
  </si>
  <si>
    <t>COT 2</t>
  </si>
  <si>
    <r>
      <rPr>
        <sz val="7"/>
        <rFont val="Arial"/>
        <family val="2"/>
      </rPr>
      <t>M1956</t>
    </r>
  </si>
  <si>
    <r>
      <rPr>
        <sz val="7"/>
        <rFont val="Arial"/>
        <family val="2"/>
      </rPr>
      <t>RR-2C-E</t>
    </r>
  </si>
  <si>
    <r>
      <rPr>
        <sz val="7"/>
        <rFont val="Arial"/>
        <family val="2"/>
      </rPr>
      <t>REGIÃO</t>
    </r>
  </si>
  <si>
    <t>COT 3</t>
  </si>
  <si>
    <r>
      <rPr>
        <b/>
        <sz val="7"/>
        <rFont val="Arial"/>
        <family val="2"/>
      </rPr>
      <t>OPÇÃO 2 - MINAS GERAIS</t>
    </r>
  </si>
  <si>
    <r>
      <rPr>
        <sz val="7"/>
        <rFont val="Arial"/>
        <family val="2"/>
      </rPr>
      <t>Betim</t>
    </r>
  </si>
  <si>
    <t>RR-2C</t>
  </si>
  <si>
    <r>
      <rPr>
        <b/>
        <sz val="7"/>
        <rFont val="Arial"/>
        <family val="2"/>
      </rPr>
      <t>OPÇÃO 3 - SÃO PAULO</t>
    </r>
  </si>
  <si>
    <r>
      <rPr>
        <sz val="7"/>
        <rFont val="Arial"/>
        <family val="2"/>
      </rPr>
      <t>Paulínia</t>
    </r>
  </si>
  <si>
    <t>FONTE : ANP ABRIL/2020</t>
  </si>
  <si>
    <t xml:space="preserve">Nota 1: A incidência de ICMS sobre aquisição de produtos betuminosos no Mato Grosso, seguiu o artigo 47 do Anexo V do Decreto Estadual nº 2.212, de 20/03/2014. </t>
  </si>
  <si>
    <t>Nota 2: Alíquota do ICMS em Mato Grosso = 17,00%, PIS/Pasep = 0,65% e COFINS = 3,00% (Conforme Portaria DNIT Nº 1977 DE 25/10/2017, Art. 2º).</t>
  </si>
  <si>
    <r>
      <rPr>
        <b/>
        <sz val="7"/>
        <rFont val="Arial"/>
        <family val="2"/>
      </rPr>
      <t>Nota 3: O BDI Diferenciado foi considerado de acordo com o menor custo da obra, sem desoneração.</t>
    </r>
  </si>
  <si>
    <t>Nota 4: UF = ICMS no estado de SP e MG é de 18%.</t>
  </si>
  <si>
    <t>Nota 5: UF = Unidade da Federação.</t>
  </si>
  <si>
    <t>5502986</t>
  </si>
  <si>
    <t>Expurgo de jazida</t>
  </si>
  <si>
    <t>COMP. 5.3</t>
  </si>
  <si>
    <t>Reforço do subleito com material de jazida</t>
  </si>
  <si>
    <t>4011227</t>
  </si>
  <si>
    <t>Sub-base de solo estabilizado granulometricamente sem mistura com material de jazida</t>
  </si>
  <si>
    <t>4011219</t>
  </si>
  <si>
    <t>Base de solo estabilizado granulometricamente sem mistura com material de jazida</t>
  </si>
  <si>
    <t>Imprimação com asfalto diluído</t>
  </si>
  <si>
    <t>Concreto asfáltico - faixa C - areia e brita comerciais</t>
  </si>
  <si>
    <t>t</t>
  </si>
  <si>
    <t>AQUISIÇÃO DE MATERIAL BETUMINOSO (IMPLANTAÇÃO)</t>
  </si>
  <si>
    <t>ANP</t>
  </si>
  <si>
    <t>Fornecimento de asfalto diluído CM-30</t>
  </si>
  <si>
    <t>Fornecimento de emulsões asfáltica modificada por polímeros RR-2C</t>
  </si>
  <si>
    <t>Fornecimento de Cimento Asfáltico CAP 50-70</t>
  </si>
  <si>
    <t>TRANSPORTE P/ PAVIMENTAÇÃO (IMPLANTAÇÃO)</t>
  </si>
  <si>
    <t>COT 4</t>
  </si>
  <si>
    <t>DNIT</t>
  </si>
  <si>
    <t>Transporte de concreto asfáltico CAP 50-70</t>
  </si>
  <si>
    <t>COT 5</t>
  </si>
  <si>
    <t>Transporte de asfalto diluído CM-30</t>
  </si>
  <si>
    <t>COT 6</t>
  </si>
  <si>
    <t>Transporte de emulsão asfáltica RR-2C</t>
  </si>
  <si>
    <t>CBUQ             (t)</t>
  </si>
  <si>
    <t>9.3</t>
  </si>
  <si>
    <t>9.4</t>
  </si>
  <si>
    <t>9.5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</si>
  <si>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</si>
  <si>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</si>
  <si>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</si>
  <si>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</si>
  <si>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</si>
  <si>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</si>
  <si>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</si>
  <si>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</si>
  <si>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</si>
  <si>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</si>
  <si>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12.0</t>
  </si>
  <si>
    <t>12.1</t>
  </si>
  <si>
    <t>12.2</t>
  </si>
  <si>
    <t>13.0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</si>
  <si>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</si>
  <si>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</si>
  <si>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</si>
  <si>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</si>
  <si>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</si>
  <si>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</si>
  <si>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</si>
  <si>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</si>
  <si>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</si>
  <si>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</si>
  <si>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</si>
  <si>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</si>
  <si>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</si>
  <si>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</si>
  <si>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14.0</t>
  </si>
  <si>
    <t>CONTROLE E RECUPERAÇÃO AMBIENTAL</t>
  </si>
  <si>
    <t>14.1</t>
  </si>
  <si>
    <t>Hidrossemeadura</t>
  </si>
  <si>
    <t>14.2</t>
  </si>
  <si>
    <t>4413989</t>
  </si>
  <si>
    <t>Plantio de mudas arbóreas com porte de 30 a 80 cm em covas de 0,60 x 0,60 x 0,60 m</t>
  </si>
  <si>
    <t>XIV</t>
  </si>
  <si>
    <t>XIII</t>
  </si>
  <si>
    <t>PAV - PRÉ-MOLDADO (m²)</t>
  </si>
  <si>
    <t>COMP. 13.12</t>
  </si>
  <si>
    <t>COMP. 13.13</t>
  </si>
  <si>
    <t>COMP. 13.14</t>
  </si>
  <si>
    <t>COMP. 10.2</t>
  </si>
  <si>
    <t>COMP. 10.3</t>
  </si>
  <si>
    <t>COMP. 10.5</t>
  </si>
  <si>
    <t>COMP. 10.6</t>
  </si>
  <si>
    <t>COMP. 10.8</t>
  </si>
  <si>
    <t>COMP. 10.11</t>
  </si>
  <si>
    <t>COMP. 10.12</t>
  </si>
  <si>
    <t>COMP. 9.3</t>
  </si>
  <si>
    <t>COMP. 9.4</t>
  </si>
  <si>
    <t>COMP. 8.1</t>
  </si>
  <si>
    <t>Tipo  de transporte5914374  -Transporte com caminhão basculante de 10 m³ - rodovia com revestimento primário</t>
  </si>
  <si>
    <t>Tipo  de transporte 5914389  -  Transporte com caminhão basculante de 10 m³ - rodovia pavimentada</t>
  </si>
  <si>
    <t>Areia média</t>
  </si>
  <si>
    <t>tkm</t>
  </si>
  <si>
    <t>Bria 0</t>
  </si>
  <si>
    <t>Brita 1</t>
  </si>
  <si>
    <t>Pedrisco</t>
  </si>
  <si>
    <t>Execução de passeio (calçada) ou piso de concreto com concreto moldado in loco, usinado, acabamento convencional, não armado. Af_07/2016</t>
  </si>
  <si>
    <t>m3</t>
  </si>
  <si>
    <t>CALÇADA m³</t>
  </si>
  <si>
    <t>Escavacao e carga material 1a categoria, utilizando trator de esteiras de 110 a 160hp com lamina, peso operacional * 13t e pa carregadeira com 170 hp.</t>
  </si>
  <si>
    <t>74151/001</t>
  </si>
  <si>
    <t>COMP. 4.2</t>
  </si>
  <si>
    <t>7.5</t>
  </si>
  <si>
    <t>SINAP</t>
  </si>
  <si>
    <t>Transporte com caminhão basculante de 10 m³, em via urbana em revestimento primário (unidade: txkm). Af_07/2020</t>
  </si>
  <si>
    <t>Transporte com caminhão basculante de 10 m³, em via urbana pavimentada, dmt até 30 km (unidade: txkm).</t>
  </si>
  <si>
    <t>Carga, manobras e descarga de areia, brita, pedra de mão e solos com caminhão basculante 6 m3 (descarga livre)</t>
  </si>
  <si>
    <t>COMP. 5.7</t>
  </si>
  <si>
    <t>5.11</t>
  </si>
  <si>
    <t xml:space="preserve">2 Limpa rodas </t>
  </si>
  <si>
    <t>Lastro de vala com preparo de fundo, largura menor que 1,5 m, com camada de brita, lançamento manual, em local com nível baixo de interferência. Af_06/2016</t>
  </si>
  <si>
    <t>Transporte com caminhão basculante de 10 m³, em via urbana pavimentada, dmt até 30 km (unidade: txkm). Af_07/2020</t>
  </si>
  <si>
    <t>XII</t>
  </si>
  <si>
    <t>9.6</t>
  </si>
  <si>
    <t>Piso pedotátil, direcional ou alerta, assentado sobre argamassa AF05/2020</t>
  </si>
  <si>
    <t>09/2020 SINAPI</t>
  </si>
  <si>
    <t>04/2020 SICRO 3</t>
  </si>
  <si>
    <t>BAIRRO: ALTO DO BOA VISTA</t>
  </si>
  <si>
    <r>
      <t xml:space="preserve">NOTA DE  SERVIÇO DE  SINALIZAÇÃO  HORIZONTAL - </t>
    </r>
    <r>
      <rPr>
        <b/>
        <sz val="10"/>
        <rFont val="Times New Roman"/>
        <family val="1"/>
      </rPr>
      <t>FAIXA AMARELA</t>
    </r>
    <r>
      <rPr>
        <sz val="10"/>
        <color indexed="13"/>
        <rFont val="Times New Roman"/>
        <family val="1"/>
      </rPr>
      <t xml:space="preserve"> </t>
    </r>
    <r>
      <rPr>
        <sz val="10"/>
        <rFont val="Times New Roman"/>
        <family val="1"/>
      </rPr>
      <t>- BAIRRO: ALTO DO BOA VISTA</t>
    </r>
  </si>
  <si>
    <t>NOTA  DE  SERVIÇO DE SINALIZAÇÃO VERTICAL DO BAIRRO ALTO DO BOA VISTA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</si>
</sst>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&quot;R$&quot;* #,##0.00_);_(&quot;R$&quot;* \(#,##0.00\);_(&quot;R$&quot;* &quot;-&quot;??_);_(@_)"/>
    <numFmt numFmtId="168" formatCode="mmmm\-yy"/>
    <numFmt numFmtId="169" formatCode="#,##0.000"/>
    <numFmt numFmtId="170" formatCode="0.000"/>
    <numFmt numFmtId="171" formatCode="0.0000"/>
    <numFmt numFmtId="172" formatCode="_(* #,##0.000_);_(* \(#,##0.000\);_(* &quot;-&quot;??_);_(@_)"/>
    <numFmt numFmtId="173" formatCode="_(* #,##0.0_);_(* \(#,##0.0\);_(* &quot;-&quot;??_);_(@_)"/>
    <numFmt numFmtId="174" formatCode="&quot;Cr$&quot;#,##0_);\(&quot;Cr$&quot;#,##0\)"/>
    <numFmt numFmtId="175" formatCode="_(* #,##0.00_);_(* \(#,##0.00\);_(* \-??_);_(@_)"/>
    <numFmt numFmtId="176" formatCode="_([$€-2]* #,##0.00_);_([$€-2]* \(#,##0.00\);_([$€-2]* &quot;-&quot;??_)"/>
    <numFmt numFmtId="177" formatCode="#,##0.00_ ;\-#,##0.00\ "/>
    <numFmt numFmtId="178" formatCode="0.0%"/>
    <numFmt numFmtId="179" formatCode="[$-F800]dddd\,\ mmmm\ dd\,\ yyyy"/>
    <numFmt numFmtId="180" formatCode="#,##0.0"/>
    <numFmt numFmtId="181" formatCode="_(* #,##0.000_);_(* \(#,##0.000\);_(* &quot;-&quot;???_);_(@_)"/>
    <numFmt numFmtId="182" formatCode="_-* #,##0.0000_-;\-* #,##0.0000_-;_-* &quot;-&quot;??_-;_-@_-"/>
    <numFmt numFmtId="183" formatCode="#,##0.000;[Red]\-#,##0.000"/>
    <numFmt numFmtId="184" formatCode="#,##0.000_ ;[Red]\-#,##0.000\ "/>
    <numFmt numFmtId="185" formatCode="_-&quot;R$&quot;\ * #,##0.00_-;\-&quot;R$&quot;\ * #,##0.00_-;_-&quot;R$&quot;\ * &quot;-&quot;???_-;_-@_-"/>
    <numFmt numFmtId="186" formatCode="_-[$R$-416]\ * #,##0.00_-;\-[$R$-416]\ * #,##0.00_-;_-[$R$-416]\ * &quot;-&quot;??_-;_-@_-"/>
    <numFmt numFmtId="187" formatCode="0.00000"/>
  </numFmts>
  <fonts count="103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Helv"/>
      <charset val="204"/>
    </font>
    <font>
      <b/>
      <sz val="8"/>
      <name val="Times New Roman"/>
      <family val="1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17"/>
      <name val="Arial"/>
      <family val="2"/>
    </font>
    <font>
      <b/>
      <sz val="10"/>
      <color indexed="34"/>
      <name val="Arial"/>
      <family val="2"/>
    </font>
    <font>
      <b/>
      <sz val="10"/>
      <color indexed="9"/>
      <name val="Arial"/>
      <family val="2"/>
    </font>
    <font>
      <sz val="10"/>
      <color indexed="34"/>
      <name val="Arial"/>
      <family val="2"/>
    </font>
    <font>
      <sz val="10"/>
      <color indexed="32"/>
      <name val="Arial"/>
      <family val="2"/>
    </font>
    <font>
      <u/>
      <sz val="9"/>
      <color indexed="12"/>
      <name val="Arial"/>
      <family val="2"/>
    </font>
    <font>
      <sz val="10"/>
      <color indexed="36"/>
      <name val="Arial"/>
      <family val="2"/>
    </font>
    <font>
      <sz val="10"/>
      <color indexed="37"/>
      <name val="Arial"/>
      <family val="2"/>
    </font>
    <font>
      <sz val="10"/>
      <name val="Times New Roman"/>
      <family val="1"/>
      <charset val="204"/>
    </font>
    <font>
      <b/>
      <sz val="10"/>
      <color indexed="22"/>
      <name val="Arial"/>
      <family val="2"/>
    </font>
    <font>
      <i/>
      <sz val="10"/>
      <color indexed="23"/>
      <name val="Arial"/>
      <family val="2"/>
    </font>
    <font>
      <b/>
      <sz val="15"/>
      <color indexed="32"/>
      <name val="Arial"/>
      <family val="2"/>
    </font>
    <font>
      <b/>
      <sz val="18"/>
      <color indexed="32"/>
      <name val="Cambria"/>
      <family val="1"/>
    </font>
    <font>
      <b/>
      <sz val="13"/>
      <color indexed="32"/>
      <name val="Arial"/>
      <family val="2"/>
    </font>
    <font>
      <b/>
      <sz val="11"/>
      <color indexed="32"/>
      <name val="Arial"/>
      <family val="2"/>
    </font>
    <font>
      <sz val="10"/>
      <name val="Arial"/>
      <family val="2"/>
      <charset val="1"/>
    </font>
    <font>
      <sz val="10"/>
      <name val="Arial"/>
      <family val="2"/>
      <charset val="204"/>
    </font>
    <font>
      <sz val="12"/>
      <color indexed="8"/>
      <name val="Calibri"/>
      <family val="2"/>
    </font>
    <font>
      <b/>
      <sz val="11"/>
      <name val="Times New Roman"/>
      <family val="1"/>
    </font>
    <font>
      <b/>
      <u/>
      <sz val="10"/>
      <color indexed="8"/>
      <name val="Arial"/>
      <family val="2"/>
    </font>
    <font>
      <b/>
      <sz val="14"/>
      <name val="TIMES NEW ROMAN"/>
      <family val="1"/>
    </font>
    <font>
      <b/>
      <sz val="11"/>
      <name val="Arial"/>
      <family val="2"/>
    </font>
    <font>
      <b/>
      <sz val="14"/>
      <name val="Arial"/>
      <family val="2"/>
    </font>
    <font>
      <sz val="8.5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sz val="10"/>
      <color indexed="13"/>
      <name val="Times New Roman"/>
      <family val="1"/>
    </font>
    <font>
      <sz val="8"/>
      <name val="Arial"/>
      <family val="2"/>
    </font>
    <font>
      <sz val="12"/>
      <name val="Times New Roman"/>
      <family val="1"/>
    </font>
    <font>
      <b/>
      <i/>
      <sz val="8"/>
      <name val="Arial"/>
      <family val="2"/>
    </font>
    <font>
      <b/>
      <sz val="7"/>
      <name val="Arial"/>
      <family val="2"/>
    </font>
    <font>
      <b/>
      <sz val="7"/>
      <color indexed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i/>
      <sz val="6"/>
      <name val="Arial"/>
      <family val="2"/>
    </font>
    <font>
      <b/>
      <i/>
      <sz val="7"/>
      <name val="Arial"/>
      <family val="2"/>
    </font>
    <font>
      <sz val="10.5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sz val="11"/>
      <color rgb="FF3F3F3F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Times New Roman"/>
      <family val="1"/>
    </font>
    <font>
      <sz val="9"/>
      <color rgb="FF333333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b/>
      <i/>
      <sz val="7"/>
      <color rgb="FFFFFFFF"/>
      <name val="Arial"/>
      <family val="2"/>
    </font>
    <font>
      <b/>
      <sz val="7"/>
      <color rgb="FFFFFFFF"/>
      <name val="Arial"/>
      <family val="2"/>
    </font>
    <font>
      <b/>
      <sz val="12"/>
      <name val="Calibri"/>
      <family val="2"/>
      <scheme val="minor"/>
    </font>
    <font>
      <b/>
      <u/>
      <sz val="12"/>
      <color rgb="FF00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11"/>
        <bgColor indexed="11"/>
      </patternFill>
    </fill>
    <fill>
      <patternFill patternType="solid">
        <fgColor indexed="3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36"/>
        <bgColor indexed="3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2"/>
        <bgColor indexed="22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10"/>
        <bgColor indexed="10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8D8D8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19328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0"/>
      </left>
      <right style="double">
        <color indexed="0"/>
      </right>
      <top style="double">
        <color indexed="0"/>
      </top>
      <bottom style="double">
        <color indexed="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3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3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2"/>
      </top>
      <bottom style="double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794">
    <xf numFmtId="0" fontId="0" fillId="0" borderId="0"/>
    <xf numFmtId="0" fontId="37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" fillId="2" borderId="0" applyNumberFormat="0" applyFont="0" applyFill="0" applyProtection="0"/>
    <xf numFmtId="0" fontId="12" fillId="2" borderId="0" applyNumberFormat="0" applyBorder="0" applyAlignment="0" applyProtection="0"/>
    <xf numFmtId="0" fontId="12" fillId="2" borderId="0" applyNumberFormat="0" applyBorder="0" applyAlignment="0" applyProtection="0"/>
    <xf numFmtId="0" fontId="12" fillId="8" borderId="0" applyNumberFormat="0" applyBorder="0" applyAlignment="0" applyProtection="0"/>
    <xf numFmtId="0" fontId="1" fillId="2" borderId="0" applyNumberFormat="0" applyFont="0" applyFill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" fillId="3" borderId="0" applyNumberFormat="0" applyFont="0" applyFill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9" borderId="0" applyNumberFormat="0" applyBorder="0" applyAlignment="0" applyProtection="0"/>
    <xf numFmtId="0" fontId="1" fillId="3" borderId="0" applyNumberFormat="0" applyFont="0" applyFill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" fillId="4" borderId="0" applyNumberFormat="0" applyFont="0" applyFill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0" borderId="0" applyNumberFormat="0" applyBorder="0" applyAlignment="0" applyProtection="0"/>
    <xf numFmtId="0" fontId="1" fillId="4" borderId="0" applyNumberFormat="0" applyFont="0" applyFill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" fillId="2" borderId="0" applyNumberFormat="0" applyFont="0" applyFill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7" borderId="0" applyNumberFormat="0" applyBorder="0" applyAlignment="0" applyProtection="0"/>
    <xf numFmtId="0" fontId="1" fillId="2" borderId="0" applyNumberFormat="0" applyFont="0" applyFill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" fillId="4" borderId="0" applyNumberFormat="0" applyFont="0" applyFill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" fillId="4" borderId="0" applyNumberFormat="0" applyFont="0" applyFill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" fillId="3" borderId="0" applyNumberFormat="0" applyFont="0" applyFill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" fillId="3" borderId="0" applyNumberFormat="0" applyFont="0" applyFill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" fillId="2" borderId="0" applyNumberFormat="0" applyFont="0" applyFill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" fillId="2" borderId="0" applyNumberFormat="0" applyFont="0" applyFill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" fillId="9" borderId="0" applyNumberFormat="0" applyFont="0" applyFill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" fillId="9" borderId="0" applyNumberFormat="0" applyFont="0" applyFill="0" applyProtection="0"/>
    <xf numFmtId="0" fontId="12" fillId="9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" fillId="14" borderId="0" applyNumberFormat="0" applyFont="0" applyFill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3" borderId="0" applyNumberFormat="0" applyBorder="0" applyAlignment="0" applyProtection="0"/>
    <xf numFmtId="0" fontId="1" fillId="14" borderId="0" applyNumberFormat="0" applyFont="0" applyFill="0" applyProtection="0"/>
    <xf numFmtId="0" fontId="12" fillId="11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" fillId="2" borderId="0" applyNumberFormat="0" applyFont="0" applyFill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" fillId="2" borderId="0" applyNumberFormat="0" applyFont="0" applyFill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" fillId="2" borderId="0" applyNumberFormat="0" applyFont="0" applyFill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6" borderId="0" applyNumberFormat="0" applyBorder="0" applyAlignment="0" applyProtection="0"/>
    <xf numFmtId="0" fontId="1" fillId="2" borderId="0" applyNumberFormat="0" applyFont="0" applyFill="0" applyProtection="0"/>
    <xf numFmtId="0" fontId="12" fillId="8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" fillId="15" borderId="0" applyNumberFormat="0" applyFont="0" applyFill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0" borderId="0" applyNumberFormat="0" applyBorder="0" applyAlignment="0" applyProtection="0"/>
    <xf numFmtId="0" fontId="1" fillId="15" borderId="0" applyNumberFormat="0" applyFont="0" applyFill="0" applyProtection="0"/>
    <xf numFmtId="0" fontId="12" fillId="12" borderId="0" applyNumberFormat="0" applyBorder="0" applyAlignment="0" applyProtection="0"/>
    <xf numFmtId="0" fontId="13" fillId="16" borderId="0" applyNumberFormat="0" applyBorder="0" applyAlignment="0" applyProtection="0"/>
    <xf numFmtId="0" fontId="13" fillId="9" borderId="0" applyNumberFormat="0" applyBorder="0" applyAlignment="0" applyProtection="0"/>
    <xf numFmtId="0" fontId="13" fillId="11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40" fillId="16" borderId="0" applyNumberFormat="0" applyFont="0" applyFill="0" applyProtection="0"/>
    <xf numFmtId="0" fontId="40" fillId="16" borderId="0" applyNumberFormat="0" applyFont="0" applyFill="0" applyProtection="0"/>
    <xf numFmtId="0" fontId="13" fillId="6" borderId="0" applyNumberFormat="0" applyBorder="0" applyAlignment="0" applyProtection="0"/>
    <xf numFmtId="0" fontId="40" fillId="16" borderId="0" applyNumberFormat="0" applyFont="0" applyFill="0" applyProtection="0"/>
    <xf numFmtId="0" fontId="13" fillId="16" borderId="0" applyNumberFormat="0" applyBorder="0" applyAlignment="0" applyProtection="0"/>
    <xf numFmtId="0" fontId="40" fillId="16" borderId="0" applyNumberFormat="0" applyFont="0" applyFill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40" fillId="9" borderId="0" applyNumberFormat="0" applyFont="0" applyFill="0" applyProtection="0"/>
    <xf numFmtId="0" fontId="40" fillId="9" borderId="0" applyNumberFormat="0" applyFont="0" applyFill="0" applyProtection="0"/>
    <xf numFmtId="0" fontId="13" fillId="20" borderId="0" applyNumberFormat="0" applyBorder="0" applyAlignment="0" applyProtection="0"/>
    <xf numFmtId="0" fontId="40" fillId="9" borderId="0" applyNumberFormat="0" applyFont="0" applyFill="0" applyProtection="0"/>
    <xf numFmtId="0" fontId="13" fillId="9" borderId="0" applyNumberFormat="0" applyBorder="0" applyAlignment="0" applyProtection="0"/>
    <xf numFmtId="0" fontId="40" fillId="9" borderId="0" applyNumberFormat="0" applyFont="0" applyFill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40" fillId="14" borderId="0" applyNumberFormat="0" applyFont="0" applyFill="0" applyProtection="0"/>
    <xf numFmtId="0" fontId="40" fillId="14" borderId="0" applyNumberFormat="0" applyFont="0" applyFill="0" applyProtection="0"/>
    <xf numFmtId="0" fontId="13" fillId="12" borderId="0" applyNumberFormat="0" applyBorder="0" applyAlignment="0" applyProtection="0"/>
    <xf numFmtId="0" fontId="40" fillId="14" borderId="0" applyNumberFormat="0" applyFont="0" applyFill="0" applyProtection="0"/>
    <xf numFmtId="0" fontId="13" fillId="11" borderId="0" applyNumberFormat="0" applyBorder="0" applyAlignment="0" applyProtection="0"/>
    <xf numFmtId="0" fontId="40" fillId="14" borderId="0" applyNumberFormat="0" applyFont="0" applyFill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40" fillId="21" borderId="0" applyNumberFormat="0" applyFont="0" applyFill="0" applyProtection="0"/>
    <xf numFmtId="0" fontId="40" fillId="21" borderId="0" applyNumberFormat="0" applyFont="0" applyFill="0" applyProtection="0"/>
    <xf numFmtId="0" fontId="13" fillId="3" borderId="0" applyNumberFormat="0" applyBorder="0" applyAlignment="0" applyProtection="0"/>
    <xf numFmtId="0" fontId="40" fillId="21" borderId="0" applyNumberFormat="0" applyFont="0" applyFill="0" applyProtection="0"/>
    <xf numFmtId="0" fontId="13" fillId="17" borderId="0" applyNumberFormat="0" applyBorder="0" applyAlignment="0" applyProtection="0"/>
    <xf numFmtId="0" fontId="40" fillId="21" borderId="0" applyNumberFormat="0" applyFont="0" applyFill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40" fillId="18" borderId="0" applyNumberFormat="0" applyFont="0" applyFill="0" applyProtection="0"/>
    <xf numFmtId="0" fontId="13" fillId="6" borderId="0" applyNumberFormat="0" applyBorder="0" applyAlignment="0" applyProtection="0"/>
    <xf numFmtId="0" fontId="40" fillId="18" borderId="0" applyNumberFormat="0" applyFont="0" applyFill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40" fillId="15" borderId="0" applyNumberFormat="0" applyFont="0" applyFill="0" applyProtection="0"/>
    <xf numFmtId="0" fontId="40" fillId="15" borderId="0" applyNumberFormat="0" applyFont="0" applyFill="0" applyProtection="0"/>
    <xf numFmtId="0" fontId="13" fillId="9" borderId="0" applyNumberFormat="0" applyBorder="0" applyAlignment="0" applyProtection="0"/>
    <xf numFmtId="0" fontId="40" fillId="15" borderId="0" applyNumberFormat="0" applyFont="0" applyFill="0" applyProtection="0"/>
    <xf numFmtId="0" fontId="13" fillId="19" borderId="0" applyNumberFormat="0" applyBorder="0" applyAlignment="0" applyProtection="0"/>
    <xf numFmtId="0" fontId="40" fillId="15" borderId="0" applyNumberFormat="0" applyFont="0" applyFill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20" borderId="0" applyNumberFormat="0" applyBorder="0" applyAlignment="0" applyProtection="0"/>
    <xf numFmtId="0" fontId="20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41" fillId="4" borderId="0" applyNumberFormat="0" applyFont="0" applyFill="0" applyProtection="0"/>
    <xf numFmtId="0" fontId="41" fillId="4" borderId="0" applyNumberFormat="0" applyFont="0" applyFill="0" applyProtection="0"/>
    <xf numFmtId="0" fontId="14" fillId="6" borderId="0" applyNumberFormat="0" applyBorder="0" applyAlignment="0" applyProtection="0"/>
    <xf numFmtId="0" fontId="41" fillId="4" borderId="0" applyNumberFormat="0" applyFont="0" applyFill="0" applyProtection="0"/>
    <xf numFmtId="0" fontId="14" fillId="4" borderId="0" applyNumberFormat="0" applyBorder="0" applyAlignment="0" applyProtection="0"/>
    <xf numFmtId="0" fontId="41" fillId="4" borderId="0" applyNumberFormat="0" applyFont="0" applyFill="0" applyProtection="0"/>
    <xf numFmtId="0" fontId="29" fillId="25" borderId="1" applyNumberFormat="0" applyAlignment="0" applyProtection="0"/>
    <xf numFmtId="0" fontId="29" fillId="25" borderId="1" applyNumberFormat="0" applyAlignment="0" applyProtection="0"/>
    <xf numFmtId="0" fontId="29" fillId="25" borderId="1" applyNumberFormat="0" applyAlignment="0" applyProtection="0"/>
    <xf numFmtId="0" fontId="42" fillId="27" borderId="1" applyNumberFormat="0" applyFont="0" applyProtection="0"/>
    <xf numFmtId="0" fontId="29" fillId="25" borderId="1" applyNumberFormat="0" applyAlignment="0" applyProtection="0"/>
    <xf numFmtId="0" fontId="15" fillId="26" borderId="1" applyNumberFormat="0" applyAlignment="0" applyProtection="0"/>
    <xf numFmtId="0" fontId="42" fillId="27" borderId="1" applyNumberFormat="0" applyFont="0" applyProtection="0"/>
    <xf numFmtId="0" fontId="29" fillId="25" borderId="1" applyNumberFormat="0" applyAlignment="0" applyProtection="0"/>
    <xf numFmtId="0" fontId="42" fillId="27" borderId="1" applyNumberFormat="0" applyFont="0" applyProtection="0"/>
    <xf numFmtId="0" fontId="1" fillId="0" borderId="0"/>
    <xf numFmtId="0" fontId="16" fillId="28" borderId="2" applyNumberFormat="0" applyAlignment="0" applyProtection="0"/>
    <xf numFmtId="0" fontId="16" fillId="28" borderId="2" applyNumberFormat="0" applyAlignment="0" applyProtection="0"/>
    <xf numFmtId="0" fontId="43" fillId="28" borderId="3" applyNumberFormat="0" applyFont="0" applyProtection="0"/>
    <xf numFmtId="0" fontId="16" fillId="28" borderId="2" applyNumberFormat="0" applyAlignment="0" applyProtection="0"/>
    <xf numFmtId="0" fontId="16" fillId="28" borderId="2" applyNumberFormat="0" applyAlignment="0" applyProtection="0"/>
    <xf numFmtId="0" fontId="43" fillId="28" borderId="3" applyNumberFormat="0" applyFont="0" applyProtection="0"/>
    <xf numFmtId="0" fontId="16" fillId="28" borderId="2" applyNumberFormat="0" applyAlignment="0" applyProtection="0"/>
    <xf numFmtId="0" fontId="43" fillId="28" borderId="3" applyNumberFormat="0" applyFo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44" fillId="0" borderId="5" applyNumberFormat="0" applyFont="0" applyAlignment="0" applyProtection="0"/>
    <xf numFmtId="0" fontId="30" fillId="0" borderId="4" applyNumberFormat="0" applyFill="0" applyAlignment="0" applyProtection="0"/>
    <xf numFmtId="0" fontId="17" fillId="0" borderId="6" applyNumberFormat="0" applyFill="0" applyAlignment="0" applyProtection="0"/>
    <xf numFmtId="0" fontId="44" fillId="0" borderId="5" applyNumberFormat="0" applyFont="0" applyAlignment="0" applyProtection="0"/>
    <xf numFmtId="0" fontId="30" fillId="0" borderId="4" applyNumberFormat="0" applyFill="0" applyAlignment="0" applyProtection="0"/>
    <xf numFmtId="0" fontId="44" fillId="0" borderId="5" applyNumberFormat="0" applyFont="0" applyAlignment="0" applyProtection="0"/>
    <xf numFmtId="3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40" fillId="22" borderId="0" applyNumberFormat="0" applyFont="0" applyFill="0" applyProtection="0"/>
    <xf numFmtId="0" fontId="40" fillId="22" borderId="0" applyNumberFormat="0" applyFont="0" applyFill="0" applyProtection="0"/>
    <xf numFmtId="0" fontId="13" fillId="29" borderId="0" applyNumberFormat="0" applyBorder="0" applyAlignment="0" applyProtection="0"/>
    <xf numFmtId="0" fontId="40" fillId="22" borderId="0" applyNumberFormat="0" applyFont="0" applyFill="0" applyProtection="0"/>
    <xf numFmtId="0" fontId="13" fillId="22" borderId="0" applyNumberFormat="0" applyBorder="0" applyAlignment="0" applyProtection="0"/>
    <xf numFmtId="0" fontId="40" fillId="22" borderId="0" applyNumberFormat="0" applyFont="0" applyFill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40" fillId="30" borderId="0" applyNumberFormat="0" applyFont="0" applyFill="0" applyProtection="0"/>
    <xf numFmtId="0" fontId="40" fillId="30" borderId="0" applyNumberFormat="0" applyFont="0" applyFill="0" applyProtection="0"/>
    <xf numFmtId="0" fontId="13" fillId="20" borderId="0" applyNumberFormat="0" applyBorder="0" applyAlignment="0" applyProtection="0"/>
    <xf numFmtId="0" fontId="40" fillId="30" borderId="0" applyNumberFormat="0" applyFont="0" applyFill="0" applyProtection="0"/>
    <xf numFmtId="0" fontId="13" fillId="23" borderId="0" applyNumberFormat="0" applyBorder="0" applyAlignment="0" applyProtection="0"/>
    <xf numFmtId="0" fontId="40" fillId="30" borderId="0" applyNumberFormat="0" applyFont="0" applyFill="0" applyProtection="0"/>
    <xf numFmtId="0" fontId="13" fillId="24" borderId="0" applyNumberFormat="0" applyBorder="0" applyAlignment="0" applyProtection="0"/>
    <xf numFmtId="0" fontId="13" fillId="24" borderId="0" applyNumberFormat="0" applyBorder="0" applyAlignment="0" applyProtection="0"/>
    <xf numFmtId="0" fontId="40" fillId="31" borderId="0" applyNumberFormat="0" applyFont="0" applyFill="0" applyProtection="0"/>
    <xf numFmtId="0" fontId="40" fillId="31" borderId="0" applyNumberFormat="0" applyFont="0" applyFill="0" applyProtection="0"/>
    <xf numFmtId="0" fontId="13" fillId="12" borderId="0" applyNumberFormat="0" applyBorder="0" applyAlignment="0" applyProtection="0"/>
    <xf numFmtId="0" fontId="40" fillId="31" borderId="0" applyNumberFormat="0" applyFont="0" applyFill="0" applyProtection="0"/>
    <xf numFmtId="0" fontId="13" fillId="24" borderId="0" applyNumberFormat="0" applyBorder="0" applyAlignment="0" applyProtection="0"/>
    <xf numFmtId="0" fontId="40" fillId="31" borderId="0" applyNumberFormat="0" applyFont="0" applyFill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40" fillId="21" borderId="0" applyNumberFormat="0" applyFont="0" applyFill="0" applyProtection="0"/>
    <xf numFmtId="0" fontId="40" fillId="21" borderId="0" applyNumberFormat="0" applyFont="0" applyFill="0" applyProtection="0"/>
    <xf numFmtId="0" fontId="13" fillId="32" borderId="0" applyNumberFormat="0" applyBorder="0" applyAlignment="0" applyProtection="0"/>
    <xf numFmtId="0" fontId="40" fillId="21" borderId="0" applyNumberFormat="0" applyFont="0" applyFill="0" applyProtection="0"/>
    <xf numFmtId="0" fontId="13" fillId="17" borderId="0" applyNumberFormat="0" applyBorder="0" applyAlignment="0" applyProtection="0"/>
    <xf numFmtId="0" fontId="40" fillId="21" borderId="0" applyNumberFormat="0" applyFont="0" applyFill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40" fillId="18" borderId="0" applyNumberFormat="0" applyFont="0" applyFill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13" fillId="18" borderId="0" applyNumberFormat="0" applyBorder="0" applyAlignment="0" applyProtection="0"/>
    <xf numFmtId="0" fontId="40" fillId="18" borderId="0" applyNumberFormat="0" applyFont="0" applyFill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40" fillId="23" borderId="0" applyNumberFormat="0" applyFont="0" applyFill="0" applyProtection="0"/>
    <xf numFmtId="0" fontId="40" fillId="23" borderId="0" applyNumberFormat="0" applyFont="0" applyFill="0" applyProtection="0"/>
    <xf numFmtId="0" fontId="13" fillId="23" borderId="0" applyNumberFormat="0" applyBorder="0" applyAlignment="0" applyProtection="0"/>
    <xf numFmtId="0" fontId="40" fillId="23" borderId="0" applyNumberFormat="0" applyFont="0" applyFill="0" applyProtection="0"/>
    <xf numFmtId="0" fontId="13" fillId="20" borderId="0" applyNumberFormat="0" applyBorder="0" applyAlignment="0" applyProtection="0"/>
    <xf numFmtId="0" fontId="40" fillId="23" borderId="0" applyNumberFormat="0" applyFont="0" applyFill="0" applyProtection="0"/>
    <xf numFmtId="0" fontId="18" fillId="7" borderId="1" applyNumberFormat="0" applyAlignment="0" applyProtection="0"/>
    <xf numFmtId="0" fontId="18" fillId="7" borderId="1" applyNumberFormat="0" applyAlignment="0" applyProtection="0"/>
    <xf numFmtId="0" fontId="45" fillId="3" borderId="1" applyNumberFormat="0" applyFont="0" applyProtection="0"/>
    <xf numFmtId="0" fontId="18" fillId="7" borderId="1" applyNumberFormat="0" applyAlignment="0" applyProtection="0"/>
    <xf numFmtId="0" fontId="18" fillId="13" borderId="1" applyNumberFormat="0" applyAlignment="0" applyProtection="0"/>
    <xf numFmtId="0" fontId="45" fillId="3" borderId="1" applyNumberFormat="0" applyFont="0" applyProtection="0"/>
    <xf numFmtId="0" fontId="18" fillId="7" borderId="1" applyNumberFormat="0" applyAlignment="0" applyProtection="0"/>
    <xf numFmtId="0" fontId="45" fillId="3" borderId="1" applyNumberFormat="0" applyFont="0" applyProtection="0"/>
    <xf numFmtId="0" fontId="37" fillId="0" borderId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0" fontId="58" fillId="0" borderId="0"/>
    <xf numFmtId="0" fontId="57" fillId="0" borderId="0"/>
    <xf numFmtId="0" fontId="56" fillId="0" borderId="0"/>
    <xf numFmtId="175" fontId="56" fillId="0" borderId="0" applyBorder="0" applyProtection="0"/>
    <xf numFmtId="0" fontId="23" fillId="0" borderId="0" applyNumberFormat="0" applyFill="0" applyBorder="0" applyAlignment="0" applyProtection="0"/>
    <xf numFmtId="0" fontId="34" fillId="0" borderId="7" applyNumberFormat="0" applyFill="0" applyAlignment="0" applyProtection="0"/>
    <xf numFmtId="0" fontId="35" fillId="0" borderId="8" applyNumberFormat="0" applyFill="0" applyAlignment="0" applyProtection="0"/>
    <xf numFmtId="0" fontId="36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80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47" fillId="3" borderId="0" applyNumberFormat="0" applyFont="0" applyFill="0" applyProtection="0"/>
    <xf numFmtId="0" fontId="47" fillId="3" borderId="0" applyNumberFormat="0" applyFont="0" applyFill="0" applyProtection="0"/>
    <xf numFmtId="0" fontId="20" fillId="5" borderId="0" applyNumberFormat="0" applyBorder="0" applyAlignment="0" applyProtection="0"/>
    <xf numFmtId="0" fontId="47" fillId="3" borderId="0" applyNumberFormat="0" applyFont="0" applyFill="0" applyProtection="0"/>
    <xf numFmtId="0" fontId="20" fillId="3" borderId="0" applyNumberFormat="0" applyBorder="0" applyAlignment="0" applyProtection="0"/>
    <xf numFmtId="0" fontId="47" fillId="3" borderId="0" applyNumberFormat="0" applyFont="0" applyFill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13" borderId="0" applyNumberFormat="0" applyBorder="0" applyAlignment="0" applyProtection="0"/>
    <xf numFmtId="0" fontId="32" fillId="13" borderId="0" applyNumberFormat="0" applyBorder="0" applyAlignment="0" applyProtection="0"/>
    <xf numFmtId="0" fontId="48" fillId="10" borderId="0" applyNumberFormat="0" applyFont="0" applyFill="0" applyProtection="0"/>
    <xf numFmtId="0" fontId="48" fillId="10" borderId="0" applyNumberFormat="0" applyFont="0" applyFill="0" applyProtection="0"/>
    <xf numFmtId="0" fontId="21" fillId="13" borderId="0" applyNumberFormat="0" applyBorder="0" applyAlignment="0" applyProtection="0"/>
    <xf numFmtId="0" fontId="48" fillId="10" borderId="0" applyNumberFormat="0" applyFont="0" applyFill="0" applyProtection="0"/>
    <xf numFmtId="0" fontId="32" fillId="13" borderId="0" applyNumberFormat="0" applyBorder="0" applyAlignment="0" applyProtection="0"/>
    <xf numFmtId="0" fontId="48" fillId="10" borderId="0" applyNumberFormat="0" applyFont="0" applyFill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79" fillId="0" borderId="0"/>
    <xf numFmtId="0" fontId="1" fillId="0" borderId="0"/>
    <xf numFmtId="0" fontId="1" fillId="0" borderId="0">
      <alignment horizontal="left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9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79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49" fillId="0" borderId="0" applyNumberFormat="0" applyFill="0" applyBorder="0" applyProtection="0">
      <alignment vertical="top" wrapText="1"/>
    </xf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7" fillId="0" borderId="0"/>
    <xf numFmtId="0" fontId="68" fillId="0" borderId="0"/>
    <xf numFmtId="0" fontId="1" fillId="0" borderId="0"/>
    <xf numFmtId="0" fontId="1" fillId="0" borderId="0"/>
    <xf numFmtId="0" fontId="1" fillId="0" borderId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31" fillId="10" borderId="10" applyNumberFormat="0" applyFont="0" applyAlignment="0" applyProtection="0"/>
    <xf numFmtId="0" fontId="12" fillId="10" borderId="10" applyNumberFormat="0" applyFont="0" applyAlignment="0" applyProtection="0"/>
    <xf numFmtId="0" fontId="1" fillId="10" borderId="10" applyNumberFormat="0" applyFont="0" applyBorder="0" applyProtection="0"/>
    <xf numFmtId="0" fontId="31" fillId="10" borderId="10" applyNumberFormat="0" applyFont="0" applyAlignment="0" applyProtection="0"/>
    <xf numFmtId="0" fontId="31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" fillId="10" borderId="10" applyNumberFormat="0" applyFont="0" applyBorder="0" applyProtection="0"/>
    <xf numFmtId="0" fontId="31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12" fillId="10" borderId="10" applyNumberFormat="0" applyFont="0" applyAlignment="0" applyProtection="0"/>
    <xf numFmtId="0" fontId="22" fillId="25" borderId="11" applyNumberFormat="0" applyAlignment="0" applyProtection="0"/>
    <xf numFmtId="0" fontId="38" fillId="0" borderId="12" applyNumberFormat="0" applyFont="0" applyBorder="0" applyAlignmen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1" fillId="26" borderId="98" applyNumberFormat="0" applyAlignment="0" applyProtection="0"/>
    <xf numFmtId="0" fontId="22" fillId="25" borderId="11" applyNumberFormat="0" applyAlignment="0" applyProtection="0"/>
    <xf numFmtId="0" fontId="22" fillId="25" borderId="11" applyNumberFormat="0" applyAlignment="0" applyProtection="0"/>
    <xf numFmtId="0" fontId="50" fillId="27" borderId="13" applyNumberFormat="0" applyFont="0" applyProtection="0"/>
    <xf numFmtId="0" fontId="22" fillId="25" borderId="11" applyNumberFormat="0" applyAlignment="0" applyProtection="0"/>
    <xf numFmtId="0" fontId="22" fillId="26" borderId="11" applyNumberFormat="0" applyAlignment="0" applyProtection="0"/>
    <xf numFmtId="0" fontId="50" fillId="27" borderId="13" applyNumberFormat="0" applyFont="0" applyProtection="0"/>
    <xf numFmtId="0" fontId="22" fillId="25" borderId="11" applyNumberFormat="0" applyAlignment="0" applyProtection="0"/>
    <xf numFmtId="0" fontId="50" fillId="27" borderId="13" applyNumberFormat="0" applyFo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5" fontId="1" fillId="0" borderId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ont="0" applyFill="0" applyAlignment="0" applyProtection="0"/>
    <xf numFmtId="0" fontId="39" fillId="0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ont="0" applyFill="0" applyAlignment="0" applyProtection="0"/>
    <xf numFmtId="0" fontId="17" fillId="0" borderId="0" applyNumberFormat="0" applyFill="0" applyBorder="0" applyAlignment="0" applyProtection="0"/>
    <xf numFmtId="0" fontId="39" fillId="0" borderId="0" applyNumberFormat="0" applyFon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1" fillId="0" borderId="0" applyNumberFormat="0" applyFont="0" applyFill="0" applyAlignment="0" applyProtection="0"/>
    <xf numFmtId="0" fontId="51" fillId="0" borderId="0" applyNumberFormat="0" applyFont="0" applyFill="0" applyAlignment="0" applyProtection="0"/>
    <xf numFmtId="0" fontId="23" fillId="0" borderId="0" applyNumberFormat="0" applyFill="0" applyBorder="0" applyAlignment="0" applyProtection="0"/>
    <xf numFmtId="0" fontId="51" fillId="0" borderId="0" applyNumberFormat="0" applyFont="0" applyFill="0" applyAlignment="0" applyProtection="0"/>
    <xf numFmtId="0" fontId="23" fillId="0" borderId="0" applyNumberFormat="0" applyFill="0" applyBorder="0" applyAlignment="0" applyProtection="0"/>
    <xf numFmtId="0" fontId="51" fillId="0" borderId="0" applyNumberFormat="0" applyFont="0" applyFill="0" applyAlignment="0" applyProtection="0"/>
    <xf numFmtId="0" fontId="33" fillId="0" borderId="0" applyNumberFormat="0" applyFill="0" applyBorder="0" applyAlignment="0" applyProtection="0"/>
    <xf numFmtId="0" fontId="34" fillId="0" borderId="7" applyNumberFormat="0" applyFill="0" applyAlignment="0" applyProtection="0"/>
    <xf numFmtId="0" fontId="34" fillId="0" borderId="7" applyNumberFormat="0" applyFill="0" applyAlignment="0" applyProtection="0"/>
    <xf numFmtId="0" fontId="52" fillId="0" borderId="15" applyNumberFormat="0" applyFont="0" applyAlignment="0" applyProtection="0"/>
    <xf numFmtId="0" fontId="34" fillId="0" borderId="7" applyNumberFormat="0" applyFill="0" applyAlignment="0" applyProtection="0"/>
    <xf numFmtId="0" fontId="25" fillId="0" borderId="14" applyNumberFormat="0" applyFill="0" applyAlignment="0" applyProtection="0"/>
    <xf numFmtId="0" fontId="52" fillId="0" borderId="15" applyNumberFormat="0" applyFont="0" applyAlignment="0" applyProtection="0"/>
    <xf numFmtId="0" fontId="34" fillId="0" borderId="7" applyNumberFormat="0" applyFill="0" applyAlignment="0" applyProtection="0"/>
    <xf numFmtId="0" fontId="52" fillId="0" borderId="15" applyNumberFormat="0" applyFont="0" applyAlignment="0" applyProtection="0"/>
    <xf numFmtId="0" fontId="53" fillId="0" borderId="0" applyNumberFormat="0" applyFont="0" applyFill="0" applyAlignment="0" applyProtection="0"/>
    <xf numFmtId="0" fontId="35" fillId="0" borderId="8" applyNumberFormat="0" applyFill="0" applyAlignment="0" applyProtection="0"/>
    <xf numFmtId="0" fontId="35" fillId="0" borderId="8" applyNumberFormat="0" applyFill="0" applyAlignment="0" applyProtection="0"/>
    <xf numFmtId="0" fontId="54" fillId="0" borderId="8" applyNumberFormat="0" applyFont="0" applyAlignment="0" applyProtection="0"/>
    <xf numFmtId="0" fontId="35" fillId="0" borderId="8" applyNumberFormat="0" applyFill="0" applyAlignment="0" applyProtection="0"/>
    <xf numFmtId="0" fontId="26" fillId="0" borderId="16" applyNumberFormat="0" applyFill="0" applyAlignment="0" applyProtection="0"/>
    <xf numFmtId="0" fontId="54" fillId="0" borderId="8" applyNumberFormat="0" applyFont="0" applyAlignment="0" applyProtection="0"/>
    <xf numFmtId="0" fontId="35" fillId="0" borderId="8" applyNumberFormat="0" applyFill="0" applyAlignment="0" applyProtection="0"/>
    <xf numFmtId="0" fontId="54" fillId="0" borderId="8" applyNumberFormat="0" applyFont="0" applyAlignment="0" applyProtection="0"/>
    <xf numFmtId="0" fontId="36" fillId="0" borderId="9" applyNumberFormat="0" applyFill="0" applyAlignment="0" applyProtection="0"/>
    <xf numFmtId="0" fontId="36" fillId="0" borderId="9" applyNumberFormat="0" applyFill="0" applyAlignment="0" applyProtection="0"/>
    <xf numFmtId="0" fontId="55" fillId="0" borderId="15" applyNumberFormat="0" applyFont="0" applyAlignment="0" applyProtection="0"/>
    <xf numFmtId="0" fontId="36" fillId="0" borderId="9" applyNumberFormat="0" applyFill="0" applyAlignment="0" applyProtection="0"/>
    <xf numFmtId="0" fontId="27" fillId="0" borderId="17" applyNumberFormat="0" applyFill="0" applyAlignment="0" applyProtection="0"/>
    <xf numFmtId="0" fontId="55" fillId="0" borderId="15" applyNumberFormat="0" applyFont="0" applyAlignment="0" applyProtection="0"/>
    <xf numFmtId="0" fontId="36" fillId="0" borderId="9" applyNumberFormat="0" applyFill="0" applyAlignment="0" applyProtection="0"/>
    <xf numFmtId="0" fontId="55" fillId="0" borderId="15" applyNumberFormat="0" applyFon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55" fillId="0" borderId="0" applyNumberFormat="0" applyFont="0" applyFill="0" applyAlignment="0" applyProtection="0"/>
    <xf numFmtId="0" fontId="55" fillId="0" borderId="0" applyNumberFormat="0" applyFont="0" applyFill="0" applyAlignment="0" applyProtection="0"/>
    <xf numFmtId="0" fontId="27" fillId="0" borderId="0" applyNumberFormat="0" applyFill="0" applyBorder="0" applyAlignment="0" applyProtection="0"/>
    <xf numFmtId="0" fontId="55" fillId="0" borderId="0" applyNumberFormat="0" applyFont="0" applyFill="0" applyAlignment="0" applyProtection="0"/>
    <xf numFmtId="0" fontId="36" fillId="0" borderId="0" applyNumberFormat="0" applyFill="0" applyBorder="0" applyAlignment="0" applyProtection="0"/>
    <xf numFmtId="0" fontId="55" fillId="0" borderId="0" applyNumberFormat="0" applyFon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53" fillId="0" borderId="0" applyNumberFormat="0" applyFont="0" applyFill="0" applyAlignment="0" applyProtection="0"/>
    <xf numFmtId="0" fontId="53" fillId="0" borderId="0" applyNumberFormat="0" applyFont="0" applyFill="0" applyAlignment="0" applyProtection="0"/>
    <xf numFmtId="0" fontId="24" fillId="0" borderId="0" applyNumberFormat="0" applyFill="0" applyBorder="0" applyAlignment="0" applyProtection="0"/>
    <xf numFmtId="0" fontId="53" fillId="0" borderId="0" applyNumberFormat="0" applyFont="0" applyFill="0" applyAlignment="0" applyProtection="0"/>
    <xf numFmtId="0" fontId="33" fillId="0" borderId="0" applyNumberFormat="0" applyFill="0" applyBorder="0" applyAlignment="0" applyProtection="0"/>
    <xf numFmtId="0" fontId="53" fillId="0" borderId="0" applyNumberFormat="0" applyFont="0" applyFill="0" applyAlignment="0" applyProtection="0"/>
    <xf numFmtId="0" fontId="28" fillId="0" borderId="19" applyNumberFormat="0" applyFill="0" applyAlignment="0" applyProtection="0"/>
    <xf numFmtId="0" fontId="28" fillId="0" borderId="19" applyNumberFormat="0" applyFill="0" applyAlignment="0" applyProtection="0"/>
    <xf numFmtId="0" fontId="6" fillId="0" borderId="20" applyNumberFormat="0" applyFont="0" applyAlignment="0" applyProtection="0"/>
    <xf numFmtId="0" fontId="28" fillId="0" borderId="19" applyNumberFormat="0" applyFill="0" applyAlignment="0" applyProtection="0"/>
    <xf numFmtId="0" fontId="28" fillId="0" borderId="18" applyNumberFormat="0" applyFill="0" applyAlignment="0" applyProtection="0"/>
    <xf numFmtId="0" fontId="6" fillId="0" borderId="20" applyNumberFormat="0" applyFont="0" applyAlignment="0" applyProtection="0"/>
    <xf numFmtId="0" fontId="28" fillId="0" borderId="19" applyNumberFormat="0" applyFill="0" applyAlignment="0" applyProtection="0"/>
    <xf numFmtId="0" fontId="6" fillId="0" borderId="20" applyNumberFormat="0" applyFont="0" applyAlignment="0" applyProtection="0"/>
    <xf numFmtId="0" fontId="28" fillId="0" borderId="19" applyNumberFormat="0" applyFill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10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Border="1"/>
    <xf numFmtId="4" fontId="2" fillId="0" borderId="0" xfId="0" applyNumberFormat="1" applyFont="1"/>
    <xf numFmtId="0" fontId="4" fillId="0" borderId="0" xfId="0" applyFont="1"/>
    <xf numFmtId="0" fontId="1" fillId="0" borderId="21" xfId="0" applyFont="1" applyBorder="1"/>
    <xf numFmtId="0" fontId="1" fillId="0" borderId="21" xfId="0" applyFont="1" applyBorder="1" applyAlignment="1">
      <alignment horizontal="center"/>
    </xf>
    <xf numFmtId="0" fontId="1" fillId="0" borderId="0" xfId="0" applyNumberFormat="1" applyFont="1" applyAlignment="1"/>
    <xf numFmtId="169" fontId="1" fillId="0" borderId="21" xfId="0" applyNumberFormat="1" applyFont="1" applyBorder="1"/>
    <xf numFmtId="165" fontId="1" fillId="0" borderId="21" xfId="785" applyFont="1" applyBorder="1"/>
    <xf numFmtId="165" fontId="1" fillId="0" borderId="21" xfId="0" applyNumberFormat="1" applyFont="1" applyBorder="1"/>
    <xf numFmtId="165" fontId="6" fillId="0" borderId="21" xfId="0" applyNumberFormat="1" applyFont="1" applyFill="1" applyBorder="1"/>
    <xf numFmtId="0" fontId="2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2" fillId="33" borderId="21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/>
    <xf numFmtId="0" fontId="82" fillId="0" borderId="99" xfId="0" applyFont="1" applyBorder="1" applyAlignment="1">
      <alignment horizontal="center"/>
    </xf>
    <xf numFmtId="4" fontId="82" fillId="0" borderId="100" xfId="0" applyNumberFormat="1" applyFont="1" applyBorder="1" applyAlignment="1">
      <alignment horizontal="center"/>
    </xf>
    <xf numFmtId="4" fontId="83" fillId="0" borderId="100" xfId="0" applyNumberFormat="1" applyFont="1" applyBorder="1" applyAlignment="1">
      <alignment horizontal="center"/>
    </xf>
    <xf numFmtId="0" fontId="83" fillId="0" borderId="100" xfId="0" applyFont="1" applyBorder="1" applyAlignment="1">
      <alignment horizontal="center"/>
    </xf>
    <xf numFmtId="0" fontId="84" fillId="0" borderId="101" xfId="0" applyFont="1" applyBorder="1" applyAlignment="1">
      <alignment horizontal="center"/>
    </xf>
    <xf numFmtId="0" fontId="83" fillId="0" borderId="99" xfId="0" applyFont="1" applyBorder="1" applyAlignment="1">
      <alignment horizontal="center"/>
    </xf>
    <xf numFmtId="0" fontId="83" fillId="36" borderId="99" xfId="0" applyFont="1" applyFill="1" applyBorder="1" applyAlignment="1">
      <alignment horizontal="center"/>
    </xf>
    <xf numFmtId="4" fontId="83" fillId="36" borderId="100" xfId="0" applyNumberFormat="1" applyFont="1" applyFill="1" applyBorder="1" applyAlignment="1">
      <alignment horizontal="center"/>
    </xf>
    <xf numFmtId="4" fontId="82" fillId="36" borderId="100" xfId="0" applyNumberFormat="1" applyFont="1" applyFill="1" applyBorder="1" applyAlignment="1">
      <alignment horizontal="center"/>
    </xf>
    <xf numFmtId="0" fontId="83" fillId="36" borderId="100" xfId="0" applyFont="1" applyFill="1" applyBorder="1" applyAlignment="1">
      <alignment horizontal="center"/>
    </xf>
    <xf numFmtId="0" fontId="84" fillId="36" borderId="101" xfId="0" applyFont="1" applyFill="1" applyBorder="1" applyAlignment="1">
      <alignment horizontal="center"/>
    </xf>
    <xf numFmtId="0" fontId="85" fillId="36" borderId="99" xfId="0" applyFont="1" applyFill="1" applyBorder="1" applyAlignment="1">
      <alignment horizontal="center"/>
    </xf>
    <xf numFmtId="4" fontId="85" fillId="36" borderId="100" xfId="0" applyNumberFormat="1" applyFont="1" applyFill="1" applyBorder="1" applyAlignment="1">
      <alignment horizontal="center"/>
    </xf>
    <xf numFmtId="4" fontId="86" fillId="36" borderId="100" xfId="0" applyNumberFormat="1" applyFont="1" applyFill="1" applyBorder="1" applyAlignment="1">
      <alignment horizontal="center"/>
    </xf>
    <xf numFmtId="0" fontId="85" fillId="36" borderId="100" xfId="0" applyFont="1" applyFill="1" applyBorder="1" applyAlignment="1">
      <alignment horizontal="center"/>
    </xf>
    <xf numFmtId="0" fontId="87" fillId="36" borderId="101" xfId="0" applyFont="1" applyFill="1" applyBorder="1" applyAlignment="1">
      <alignment horizontal="center"/>
    </xf>
    <xf numFmtId="165" fontId="83" fillId="0" borderId="100" xfId="0" applyNumberFormat="1" applyFont="1" applyBorder="1" applyAlignment="1">
      <alignment horizontal="center"/>
    </xf>
    <xf numFmtId="4" fontId="83" fillId="0" borderId="100" xfId="0" applyNumberFormat="1" applyFont="1" applyBorder="1" applyAlignment="1">
      <alignment horizontal="right"/>
    </xf>
    <xf numFmtId="4" fontId="83" fillId="0" borderId="100" xfId="0" applyNumberFormat="1" applyFont="1" applyBorder="1" applyAlignment="1"/>
    <xf numFmtId="0" fontId="83" fillId="0" borderId="100" xfId="0" applyFont="1" applyBorder="1" applyAlignment="1"/>
    <xf numFmtId="0" fontId="83" fillId="0" borderId="101" xfId="0" applyFont="1" applyBorder="1" applyAlignment="1"/>
    <xf numFmtId="0" fontId="83" fillId="37" borderId="0" xfId="0" applyFont="1" applyFill="1" applyBorder="1" applyAlignment="1"/>
    <xf numFmtId="0" fontId="82" fillId="0" borderId="102" xfId="0" applyFont="1" applyBorder="1" applyAlignment="1">
      <alignment horizontal="center"/>
    </xf>
    <xf numFmtId="4" fontId="82" fillId="0" borderId="103" xfId="0" applyNumberFormat="1" applyFont="1" applyBorder="1" applyAlignment="1">
      <alignment horizontal="center"/>
    </xf>
    <xf numFmtId="4" fontId="83" fillId="0" borderId="103" xfId="0" applyNumberFormat="1" applyFont="1" applyBorder="1" applyAlignment="1">
      <alignment horizontal="center"/>
    </xf>
    <xf numFmtId="0" fontId="83" fillId="0" borderId="103" xfId="0" applyFont="1" applyBorder="1" applyAlignment="1">
      <alignment horizontal="center"/>
    </xf>
    <xf numFmtId="0" fontId="84" fillId="0" borderId="104" xfId="0" applyFont="1" applyBorder="1" applyAlignment="1">
      <alignment horizontal="center"/>
    </xf>
    <xf numFmtId="0" fontId="88" fillId="0" borderId="105" xfId="0" applyFont="1" applyBorder="1" applyAlignment="1">
      <alignment horizontal="center"/>
    </xf>
    <xf numFmtId="0" fontId="88" fillId="0" borderId="106" xfId="0" applyFont="1" applyBorder="1" applyAlignment="1"/>
    <xf numFmtId="0" fontId="88" fillId="0" borderId="107" xfId="0" applyFont="1" applyBorder="1" applyAlignment="1">
      <alignment horizontal="center"/>
    </xf>
    <xf numFmtId="0" fontId="88" fillId="0" borderId="108" xfId="0" applyFont="1" applyBorder="1" applyAlignment="1">
      <alignment horizontal="center"/>
    </xf>
    <xf numFmtId="0" fontId="0" fillId="37" borderId="22" xfId="0" applyFont="1" applyFill="1" applyBorder="1" applyAlignment="1"/>
    <xf numFmtId="0" fontId="0" fillId="37" borderId="23" xfId="0" applyFont="1" applyFill="1" applyBorder="1" applyAlignment="1"/>
    <xf numFmtId="4" fontId="83" fillId="38" borderId="100" xfId="0" applyNumberFormat="1" applyFont="1" applyFill="1" applyBorder="1" applyAlignment="1">
      <alignment horizontal="center"/>
    </xf>
    <xf numFmtId="170" fontId="2" fillId="0" borderId="21" xfId="0" applyNumberFormat="1" applyFont="1" applyBorder="1" applyAlignment="1">
      <alignment horizontal="center" vertical="center"/>
    </xf>
    <xf numFmtId="0" fontId="2" fillId="33" borderId="21" xfId="0" applyFont="1" applyFill="1" applyBorder="1" applyAlignment="1">
      <alignment horizontal="center"/>
    </xf>
    <xf numFmtId="0" fontId="2" fillId="33" borderId="21" xfId="0" applyFont="1" applyFill="1" applyBorder="1" applyAlignment="1">
      <alignment horizontal="center" vertical="center" wrapText="1"/>
    </xf>
    <xf numFmtId="0" fontId="2" fillId="33" borderId="21" xfId="0" applyFont="1" applyFill="1" applyBorder="1" applyAlignment="1">
      <alignment horizontal="centerContinuous"/>
    </xf>
    <xf numFmtId="0" fontId="2" fillId="0" borderId="21" xfId="0" applyFont="1" applyFill="1" applyBorder="1" applyAlignment="1">
      <alignment horizontal="center" vertical="center"/>
    </xf>
    <xf numFmtId="170" fontId="2" fillId="33" borderId="21" xfId="0" applyNumberFormat="1" applyFont="1" applyFill="1" applyBorder="1" applyAlignment="1">
      <alignment horizontal="center" vertical="center"/>
    </xf>
    <xf numFmtId="43" fontId="0" fillId="0" borderId="0" xfId="0" applyNumberFormat="1"/>
    <xf numFmtId="0" fontId="6" fillId="0" borderId="21" xfId="0" applyFont="1" applyBorder="1" applyAlignment="1">
      <alignment horizontal="center" vertical="center"/>
    </xf>
    <xf numFmtId="0" fontId="7" fillId="34" borderId="24" xfId="0" applyFont="1" applyFill="1" applyBorder="1" applyAlignment="1">
      <alignment horizontal="center" vertical="center"/>
    </xf>
    <xf numFmtId="0" fontId="7" fillId="34" borderId="25" xfId="0" applyFont="1" applyFill="1" applyBorder="1" applyAlignment="1">
      <alignment horizontal="center" vertical="center"/>
    </xf>
    <xf numFmtId="0" fontId="7" fillId="34" borderId="26" xfId="0" applyFont="1" applyFill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 vertical="center"/>
    </xf>
    <xf numFmtId="39" fontId="7" fillId="35" borderId="21" xfId="0" applyNumberFormat="1" applyFont="1" applyFill="1" applyBorder="1" applyAlignment="1">
      <alignment horizontal="center" vertical="center"/>
    </xf>
    <xf numFmtId="0" fontId="0" fillId="37" borderId="0" xfId="0" applyFont="1" applyFill="1" applyBorder="1" applyAlignment="1"/>
    <xf numFmtId="0" fontId="89" fillId="37" borderId="0" xfId="0" applyFont="1" applyFill="1" applyBorder="1" applyAlignment="1"/>
    <xf numFmtId="0" fontId="90" fillId="37" borderId="0" xfId="0" applyFont="1" applyFill="1" applyBorder="1" applyAlignment="1"/>
    <xf numFmtId="0" fontId="90" fillId="37" borderId="27" xfId="0" applyFont="1" applyFill="1" applyBorder="1" applyAlignment="1"/>
    <xf numFmtId="4" fontId="90" fillId="37" borderId="0" xfId="0" applyNumberFormat="1" applyFont="1" applyFill="1" applyBorder="1" applyAlignment="1"/>
    <xf numFmtId="0" fontId="91" fillId="37" borderId="27" xfId="0" applyFont="1" applyFill="1" applyBorder="1" applyAlignment="1"/>
    <xf numFmtId="40" fontId="90" fillId="37" borderId="0" xfId="0" applyNumberFormat="1" applyFont="1" applyFill="1" applyBorder="1" applyAlignment="1"/>
    <xf numFmtId="0" fontId="89" fillId="37" borderId="28" xfId="0" applyFont="1" applyFill="1" applyBorder="1" applyAlignment="1"/>
    <xf numFmtId="40" fontId="90" fillId="37" borderId="28" xfId="0" applyNumberFormat="1" applyFont="1" applyFill="1" applyBorder="1" applyAlignment="1"/>
    <xf numFmtId="0" fontId="90" fillId="37" borderId="28" xfId="0" applyFont="1" applyFill="1" applyBorder="1" applyAlignment="1"/>
    <xf numFmtId="0" fontId="90" fillId="37" borderId="29" xfId="0" applyFont="1" applyFill="1" applyBorder="1" applyAlignment="1"/>
    <xf numFmtId="0" fontId="0" fillId="37" borderId="30" xfId="0" applyFont="1" applyFill="1" applyBorder="1" applyAlignment="1"/>
    <xf numFmtId="0" fontId="83" fillId="37" borderId="31" xfId="0" applyFont="1" applyFill="1" applyBorder="1" applyAlignment="1"/>
    <xf numFmtId="0" fontId="0" fillId="37" borderId="31" xfId="0" applyFont="1" applyFill="1" applyBorder="1" applyAlignment="1"/>
    <xf numFmtId="0" fontId="89" fillId="37" borderId="31" xfId="0" applyFont="1" applyFill="1" applyBorder="1" applyAlignment="1"/>
    <xf numFmtId="0" fontId="90" fillId="37" borderId="31" xfId="0" applyFont="1" applyFill="1" applyBorder="1" applyAlignment="1"/>
    <xf numFmtId="0" fontId="90" fillId="37" borderId="32" xfId="0" applyFont="1" applyFill="1" applyBorder="1" applyAlignment="1"/>
    <xf numFmtId="0" fontId="92" fillId="37" borderId="0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Border="1" applyAlignment="1">
      <alignment vertical="center"/>
    </xf>
    <xf numFmtId="179" fontId="7" fillId="37" borderId="24" xfId="0" applyNumberFormat="1" applyFont="1" applyFill="1" applyBorder="1" applyAlignment="1">
      <alignment horizontal="center" vertical="center"/>
    </xf>
    <xf numFmtId="179" fontId="7" fillId="37" borderId="25" xfId="0" applyNumberFormat="1" applyFont="1" applyFill="1" applyBorder="1" applyAlignment="1">
      <alignment horizontal="center" vertical="center"/>
    </xf>
    <xf numFmtId="39" fontId="0" fillId="0" borderId="0" xfId="0" applyNumberFormat="1"/>
    <xf numFmtId="0" fontId="2" fillId="0" borderId="0" xfId="0" applyFont="1" applyAlignment="1">
      <alignment horizontal="center" vertical="center"/>
    </xf>
    <xf numFmtId="0" fontId="3" fillId="37" borderId="24" xfId="0" applyFont="1" applyFill="1" applyBorder="1" applyAlignment="1"/>
    <xf numFmtId="0" fontId="3" fillId="37" borderId="25" xfId="0" applyFont="1" applyFill="1" applyBorder="1" applyAlignment="1"/>
    <xf numFmtId="0" fontId="3" fillId="37" borderId="26" xfId="0" applyFont="1" applyFill="1" applyBorder="1" applyAlignment="1"/>
    <xf numFmtId="165" fontId="6" fillId="37" borderId="21" xfId="785" applyFont="1" applyFill="1" applyBorder="1" applyAlignment="1">
      <alignment vertical="center"/>
    </xf>
    <xf numFmtId="0" fontId="3" fillId="0" borderId="0" xfId="0" applyFont="1"/>
    <xf numFmtId="0" fontId="0" fillId="0" borderId="21" xfId="0" applyBorder="1"/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wrapText="1"/>
    </xf>
    <xf numFmtId="165" fontId="1" fillId="37" borderId="21" xfId="785" applyFont="1" applyFill="1" applyBorder="1" applyAlignment="1">
      <alignment horizontal="center" vertical="center"/>
    </xf>
    <xf numFmtId="165" fontId="6" fillId="0" borderId="21" xfId="0" applyNumberFormat="1" applyFont="1" applyBorder="1"/>
    <xf numFmtId="0" fontId="6" fillId="0" borderId="21" xfId="0" applyFont="1" applyBorder="1" applyAlignment="1">
      <alignment horizontal="left"/>
    </xf>
    <xf numFmtId="0" fontId="93" fillId="0" borderId="0" xfId="0" applyFont="1" applyAlignment="1">
      <alignment horizontal="left" vertical="center"/>
    </xf>
    <xf numFmtId="169" fontId="2" fillId="0" borderId="0" xfId="0" applyNumberFormat="1" applyFont="1"/>
    <xf numFmtId="40" fontId="2" fillId="37" borderId="21" xfId="785" applyNumberFormat="1" applyFont="1" applyFill="1" applyBorder="1" applyAlignment="1">
      <alignment horizontal="right" vertical="center"/>
    </xf>
    <xf numFmtId="0" fontId="7" fillId="0" borderId="21" xfId="0" applyFont="1" applyBorder="1" applyAlignment="1">
      <alignment horizontal="center" vertical="center"/>
    </xf>
    <xf numFmtId="165" fontId="6" fillId="37" borderId="21" xfId="785" applyFont="1" applyFill="1" applyBorder="1" applyAlignment="1">
      <alignment horizontal="center" wrapText="1"/>
    </xf>
    <xf numFmtId="165" fontId="6" fillId="37" borderId="21" xfId="785" applyFont="1" applyFill="1" applyBorder="1" applyAlignment="1">
      <alignment horizontal="center" vertical="top" wrapText="1"/>
    </xf>
    <xf numFmtId="0" fontId="1" fillId="37" borderId="21" xfId="500" applyFont="1" applyFill="1" applyBorder="1" applyAlignment="1">
      <alignment vertical="center"/>
    </xf>
    <xf numFmtId="165" fontId="1" fillId="37" borderId="21" xfId="785" applyNumberFormat="1" applyFont="1" applyFill="1" applyBorder="1" applyAlignment="1">
      <alignment horizontal="center" vertical="center"/>
    </xf>
    <xf numFmtId="165" fontId="1" fillId="37" borderId="21" xfId="785" applyFont="1" applyFill="1" applyBorder="1" applyAlignment="1">
      <alignment vertical="center"/>
    </xf>
    <xf numFmtId="165" fontId="1" fillId="37" borderId="21" xfId="785" applyNumberFormat="1" applyFont="1" applyFill="1" applyBorder="1" applyAlignment="1">
      <alignment horizontal="right" vertical="center"/>
    </xf>
    <xf numFmtId="165" fontId="1" fillId="37" borderId="21" xfId="785" applyFont="1" applyFill="1" applyBorder="1" applyAlignment="1">
      <alignment horizontal="right" vertical="center"/>
    </xf>
    <xf numFmtId="0" fontId="1" fillId="37" borderId="33" xfId="0" applyFont="1" applyFill="1" applyBorder="1" applyAlignment="1">
      <alignment vertical="center" wrapText="1"/>
    </xf>
    <xf numFmtId="165" fontId="1" fillId="37" borderId="21" xfId="785" applyNumberFormat="1" applyFont="1" applyFill="1" applyBorder="1" applyAlignment="1">
      <alignment horizontal="left" vertical="center"/>
    </xf>
    <xf numFmtId="165" fontId="1" fillId="37" borderId="24" xfId="785" applyNumberFormat="1" applyFont="1" applyFill="1" applyBorder="1" applyAlignment="1">
      <alignment horizontal="center" vertical="center"/>
    </xf>
    <xf numFmtId="165" fontId="6" fillId="37" borderId="21" xfId="785" applyFont="1" applyFill="1" applyBorder="1" applyAlignment="1">
      <alignment horizontal="right" vertical="center"/>
    </xf>
    <xf numFmtId="0" fontId="1" fillId="37" borderId="21" xfId="500" applyFont="1" applyFill="1" applyBorder="1" applyAlignment="1">
      <alignment horizontal="left"/>
    </xf>
    <xf numFmtId="173" fontId="1" fillId="37" borderId="21" xfId="785" applyNumberFormat="1" applyFont="1" applyFill="1" applyBorder="1" applyAlignment="1">
      <alignment vertical="center"/>
    </xf>
    <xf numFmtId="0" fontId="6" fillId="37" borderId="21" xfId="500" applyFont="1" applyFill="1" applyBorder="1" applyAlignment="1">
      <alignment horizontal="left"/>
    </xf>
    <xf numFmtId="0" fontId="6" fillId="37" borderId="21" xfId="500" applyFont="1" applyFill="1" applyBorder="1" applyAlignment="1">
      <alignment horizontal="left" vertical="center"/>
    </xf>
    <xf numFmtId="0" fontId="0" fillId="37" borderId="21" xfId="0" applyFill="1" applyBorder="1"/>
    <xf numFmtId="0" fontId="6" fillId="37" borderId="21" xfId="0" applyFont="1" applyFill="1" applyBorder="1"/>
    <xf numFmtId="169" fontId="1" fillId="0" borderId="21" xfId="0" applyNumberFormat="1" applyFont="1" applyBorder="1" applyAlignment="1">
      <alignment vertical="center"/>
    </xf>
    <xf numFmtId="165" fontId="1" fillId="0" borderId="21" xfId="785" applyFont="1" applyBorder="1" applyAlignment="1">
      <alignment vertical="center"/>
    </xf>
    <xf numFmtId="165" fontId="1" fillId="0" borderId="2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1" xfId="413" applyFont="1" applyFill="1" applyBorder="1" applyAlignment="1">
      <alignment horizontal="center" vertical="center"/>
    </xf>
    <xf numFmtId="0" fontId="11" fillId="0" borderId="21" xfId="413" applyFont="1" applyFill="1" applyBorder="1" applyAlignment="1">
      <alignment horizontal="left" vertical="center"/>
    </xf>
    <xf numFmtId="169" fontId="11" fillId="0" borderId="21" xfId="0" applyNumberFormat="1" applyFont="1" applyBorder="1" applyAlignment="1">
      <alignment horizontal="center" vertical="center"/>
    </xf>
    <xf numFmtId="0" fontId="7" fillId="0" borderId="21" xfId="413" applyFont="1" applyFill="1" applyBorder="1" applyAlignment="1">
      <alignment horizontal="center" vertical="center"/>
    </xf>
    <xf numFmtId="169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horizontal="center" vertical="center"/>
    </xf>
    <xf numFmtId="0" fontId="7" fillId="0" borderId="21" xfId="413" applyFont="1" applyFill="1" applyBorder="1" applyAlignment="1">
      <alignment horizontal="left" vertical="center"/>
    </xf>
    <xf numFmtId="174" fontId="11" fillId="0" borderId="21" xfId="496" applyNumberFormat="1" applyFont="1" applyFill="1" applyBorder="1" applyAlignment="1" applyProtection="1">
      <alignment horizontal="left" vertical="center"/>
      <protection locked="0"/>
    </xf>
    <xf numFmtId="0" fontId="7" fillId="37" borderId="21" xfId="413" applyFont="1" applyFill="1" applyBorder="1" applyAlignment="1">
      <alignment horizontal="left" vertical="center"/>
    </xf>
    <xf numFmtId="0" fontId="7" fillId="0" borderId="21" xfId="424" applyFont="1" applyFill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21" xfId="0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/>
    </xf>
    <xf numFmtId="174" fontId="7" fillId="0" borderId="21" xfId="496" applyNumberFormat="1" applyFont="1" applyFill="1" applyBorder="1" applyAlignment="1" applyProtection="1">
      <alignment horizontal="center" vertical="center"/>
      <protection locked="0"/>
    </xf>
    <xf numFmtId="0" fontId="11" fillId="0" borderId="21" xfId="413" applyFont="1" applyFill="1" applyBorder="1" applyAlignment="1">
      <alignment vertical="center"/>
    </xf>
    <xf numFmtId="0" fontId="7" fillId="0" borderId="21" xfId="413" applyFont="1" applyFill="1" applyBorder="1" applyAlignment="1">
      <alignment horizontal="left" vertical="center" wrapText="1"/>
    </xf>
    <xf numFmtId="4" fontId="9" fillId="0" borderId="35" xfId="0" applyNumberFormat="1" applyFont="1" applyBorder="1" applyAlignment="1">
      <alignment horizontal="center"/>
    </xf>
    <xf numFmtId="168" fontId="9" fillId="0" borderId="36" xfId="0" quotePrefix="1" applyNumberFormat="1" applyFont="1" applyBorder="1" applyAlignment="1">
      <alignment horizontal="center" vertical="center"/>
    </xf>
    <xf numFmtId="0" fontId="11" fillId="0" borderId="34" xfId="0" applyFont="1" applyBorder="1" applyAlignment="1">
      <alignment vertical="center"/>
    </xf>
    <xf numFmtId="0" fontId="11" fillId="0" borderId="36" xfId="0" applyFont="1" applyBorder="1" applyAlignment="1">
      <alignment horizontal="center" vertical="center"/>
    </xf>
    <xf numFmtId="0" fontId="1" fillId="37" borderId="36" xfId="0" applyNumberFormat="1" applyFont="1" applyFill="1" applyBorder="1" applyAlignment="1">
      <alignment horizontal="center"/>
    </xf>
    <xf numFmtId="0" fontId="1" fillId="37" borderId="36" xfId="0" applyNumberFormat="1" applyFont="1" applyFill="1" applyBorder="1" applyAlignment="1">
      <alignment horizontal="center" vertical="center"/>
    </xf>
    <xf numFmtId="0" fontId="8" fillId="37" borderId="37" xfId="0" applyNumberFormat="1" applyFont="1" applyFill="1" applyBorder="1" applyAlignment="1">
      <alignment horizontal="center" vertical="center"/>
    </xf>
    <xf numFmtId="0" fontId="8" fillId="37" borderId="24" xfId="0" applyNumberFormat="1" applyFont="1" applyFill="1" applyBorder="1" applyAlignment="1">
      <alignment horizontal="center" vertical="center"/>
    </xf>
    <xf numFmtId="0" fontId="8" fillId="37" borderId="36" xfId="0" applyNumberFormat="1" applyFont="1" applyFill="1" applyBorder="1" applyAlignment="1">
      <alignment horizontal="center" vertical="center" wrapText="1"/>
    </xf>
    <xf numFmtId="0" fontId="10" fillId="37" borderId="25" xfId="0" applyNumberFormat="1" applyFont="1" applyFill="1" applyBorder="1" applyAlignment="1">
      <alignment horizontal="left" vertical="center"/>
    </xf>
    <xf numFmtId="0" fontId="1" fillId="37" borderId="38" xfId="0" applyFont="1" applyFill="1" applyBorder="1" applyAlignment="1"/>
    <xf numFmtId="4" fontId="7" fillId="0" borderId="36" xfId="0" applyNumberFormat="1" applyFont="1" applyBorder="1" applyAlignment="1">
      <alignment horizontal="right" vertical="center"/>
    </xf>
    <xf numFmtId="4" fontId="11" fillId="0" borderId="36" xfId="0" applyNumberFormat="1" applyFont="1" applyBorder="1" applyAlignment="1">
      <alignment horizontal="right" vertical="center"/>
    </xf>
    <xf numFmtId="4" fontId="11" fillId="0" borderId="36" xfId="0" applyNumberFormat="1" applyFont="1" applyBorder="1" applyAlignment="1">
      <alignment horizontal="right"/>
    </xf>
    <xf numFmtId="4" fontId="7" fillId="0" borderId="36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/>
    </xf>
    <xf numFmtId="165" fontId="8" fillId="37" borderId="39" xfId="785" applyFont="1" applyFill="1" applyBorder="1" applyAlignment="1">
      <alignment horizontal="center" vertical="center"/>
    </xf>
    <xf numFmtId="165" fontId="6" fillId="37" borderId="21" xfId="785" applyFont="1" applyFill="1" applyBorder="1" applyAlignment="1">
      <alignment horizontal="center" vertical="center" wrapText="1"/>
    </xf>
    <xf numFmtId="0" fontId="83" fillId="0" borderId="109" xfId="0" applyFont="1" applyBorder="1"/>
    <xf numFmtId="0" fontId="83" fillId="0" borderId="110" xfId="0" applyFont="1" applyBorder="1"/>
    <xf numFmtId="1" fontId="83" fillId="0" borderId="111" xfId="0" applyNumberFormat="1" applyFont="1" applyBorder="1" applyAlignment="1">
      <alignment horizontal="left"/>
    </xf>
    <xf numFmtId="0" fontId="0" fillId="0" borderId="0" xfId="0" applyFill="1" applyAlignment="1">
      <alignment horizontal="left"/>
    </xf>
    <xf numFmtId="0" fontId="1" fillId="0" borderId="21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/>
    </xf>
    <xf numFmtId="0" fontId="11" fillId="0" borderId="21" xfId="0" applyFont="1" applyBorder="1" applyAlignment="1">
      <alignment vertical="center"/>
    </xf>
    <xf numFmtId="0" fontId="2" fillId="0" borderId="21" xfId="413" applyFont="1" applyFill="1" applyBorder="1" applyAlignment="1">
      <alignment horizontal="center" vertical="center"/>
    </xf>
    <xf numFmtId="4" fontId="1" fillId="37" borderId="21" xfId="785" applyNumberFormat="1" applyFont="1" applyFill="1" applyBorder="1" applyAlignment="1">
      <alignment horizontal="center" vertical="center"/>
    </xf>
    <xf numFmtId="0" fontId="7" fillId="33" borderId="21" xfId="0" applyFont="1" applyFill="1" applyBorder="1" applyAlignment="1">
      <alignment horizontal="center" vertical="center"/>
    </xf>
    <xf numFmtId="0" fontId="11" fillId="37" borderId="21" xfId="413" applyFont="1" applyFill="1" applyBorder="1" applyAlignment="1">
      <alignment vertical="center"/>
    </xf>
    <xf numFmtId="0" fontId="6" fillId="0" borderId="21" xfId="0" applyFont="1" applyBorder="1"/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6" fillId="0" borderId="21" xfId="0" applyFont="1" applyBorder="1" applyAlignment="1" applyProtection="1"/>
    <xf numFmtId="0" fontId="7" fillId="0" borderId="21" xfId="0" applyFont="1" applyBorder="1"/>
    <xf numFmtId="4" fontId="8" fillId="37" borderId="40" xfId="0" applyNumberFormat="1" applyFont="1" applyFill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0" fontId="9" fillId="37" borderId="21" xfId="785" applyNumberFormat="1" applyFont="1" applyFill="1" applyBorder="1" applyAlignment="1">
      <alignment vertical="center" wrapText="1"/>
    </xf>
    <xf numFmtId="165" fontId="62" fillId="0" borderId="21" xfId="785" applyFont="1" applyBorder="1" applyAlignment="1">
      <alignment horizontal="center" vertical="center"/>
    </xf>
    <xf numFmtId="0" fontId="1" fillId="37" borderId="21" xfId="785" applyNumberFormat="1" applyFont="1" applyFill="1" applyBorder="1" applyAlignment="1">
      <alignment vertical="center" wrapText="1"/>
    </xf>
    <xf numFmtId="0" fontId="7" fillId="0" borderId="21" xfId="0" applyFont="1" applyBorder="1" applyAlignment="1">
      <alignment horizontal="left" vertical="center" wrapText="1"/>
    </xf>
    <xf numFmtId="0" fontId="10" fillId="37" borderId="41" xfId="0" applyNumberFormat="1" applyFont="1" applyFill="1" applyBorder="1" applyAlignment="1">
      <alignment horizontal="left" vertical="center"/>
    </xf>
    <xf numFmtId="2" fontId="7" fillId="37" borderId="42" xfId="0" applyNumberFormat="1" applyFont="1" applyFill="1" applyBorder="1" applyAlignment="1">
      <alignment horizontal="center" vertical="center"/>
    </xf>
    <xf numFmtId="2" fontId="7" fillId="37" borderId="43" xfId="0" applyNumberFormat="1" applyFont="1" applyFill="1" applyBorder="1" applyAlignment="1">
      <alignment horizontal="center" vertical="center"/>
    </xf>
    <xf numFmtId="179" fontId="7" fillId="37" borderId="26" xfId="0" applyNumberFormat="1" applyFont="1" applyFill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21" xfId="0" quotePrefix="1" applyNumberFormat="1" applyFont="1" applyBorder="1" applyAlignment="1">
      <alignment horizontal="center" vertical="center"/>
    </xf>
    <xf numFmtId="4" fontId="2" fillId="0" borderId="21" xfId="0" applyNumberFormat="1" applyFont="1" applyBorder="1" applyAlignment="1">
      <alignment horizontal="center" vertical="center"/>
    </xf>
    <xf numFmtId="40" fontId="2" fillId="0" borderId="21" xfId="785" applyNumberFormat="1" applyFont="1" applyBorder="1" applyAlignment="1">
      <alignment horizontal="center" vertical="center"/>
    </xf>
    <xf numFmtId="165" fontId="2" fillId="0" borderId="21" xfId="785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left"/>
    </xf>
    <xf numFmtId="3" fontId="3" fillId="0" borderId="21" xfId="0" applyNumberFormat="1" applyFont="1" applyBorder="1" applyAlignment="1">
      <alignment horizontal="left" vertical="center"/>
    </xf>
    <xf numFmtId="172" fontId="1" fillId="37" borderId="21" xfId="785" applyNumberFormat="1" applyFont="1" applyFill="1" applyBorder="1" applyAlignment="1">
      <alignment horizontal="center" vertical="center"/>
    </xf>
    <xf numFmtId="1" fontId="66" fillId="0" borderId="21" xfId="644" applyNumberFormat="1" applyFont="1" applyFill="1" applyBorder="1" applyAlignment="1">
      <alignment horizontal="center"/>
    </xf>
    <xf numFmtId="170" fontId="66" fillId="0" borderId="21" xfId="644" applyNumberFormat="1" applyFont="1" applyFill="1" applyBorder="1" applyAlignment="1">
      <alignment horizontal="center"/>
    </xf>
    <xf numFmtId="2" fontId="0" fillId="0" borderId="0" xfId="0" applyNumberFormat="1"/>
    <xf numFmtId="170" fontId="0" fillId="0" borderId="0" xfId="0" applyNumberFormat="1"/>
    <xf numFmtId="171" fontId="0" fillId="0" borderId="0" xfId="0" applyNumberFormat="1"/>
    <xf numFmtId="169" fontId="0" fillId="0" borderId="0" xfId="0" applyNumberFormat="1" applyAlignment="1">
      <alignment horizontal="center"/>
    </xf>
    <xf numFmtId="177" fontId="0" fillId="0" borderId="0" xfId="0" applyNumberFormat="1"/>
    <xf numFmtId="182" fontId="2" fillId="33" borderId="21" xfId="793" applyNumberFormat="1" applyFont="1" applyFill="1" applyBorder="1" applyAlignment="1">
      <alignment horizontal="centerContinuous"/>
    </xf>
    <xf numFmtId="182" fontId="2" fillId="33" borderId="21" xfId="793" applyNumberFormat="1" applyFont="1" applyFill="1" applyBorder="1" applyAlignment="1">
      <alignment horizontal="center"/>
    </xf>
    <xf numFmtId="182" fontId="2" fillId="0" borderId="21" xfId="793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/>
    </xf>
    <xf numFmtId="0" fontId="2" fillId="33" borderId="21" xfId="0" applyFont="1" applyFill="1" applyBorder="1" applyAlignment="1">
      <alignment vertical="center"/>
    </xf>
    <xf numFmtId="2" fontId="2" fillId="33" borderId="21" xfId="0" applyNumberFormat="1" applyFont="1" applyFill="1" applyBorder="1" applyAlignment="1">
      <alignment horizontal="center"/>
    </xf>
    <xf numFmtId="43" fontId="2" fillId="33" borderId="21" xfId="793" applyFont="1" applyFill="1" applyBorder="1" applyAlignment="1">
      <alignment horizontal="right"/>
    </xf>
    <xf numFmtId="43" fontId="2" fillId="33" borderId="21" xfId="793" applyFont="1" applyFill="1" applyBorder="1" applyAlignment="1">
      <alignment horizontal="center"/>
    </xf>
    <xf numFmtId="0" fontId="2" fillId="33" borderId="21" xfId="0" applyFont="1" applyFill="1" applyBorder="1" applyAlignment="1">
      <alignment horizontal="left"/>
    </xf>
    <xf numFmtId="40" fontId="2" fillId="33" borderId="21" xfId="0" applyNumberFormat="1" applyFont="1" applyFill="1" applyBorder="1" applyAlignment="1">
      <alignment horizontal="right"/>
    </xf>
    <xf numFmtId="40" fontId="2" fillId="33" borderId="21" xfId="0" applyNumberFormat="1" applyFont="1" applyFill="1" applyBorder="1" applyAlignment="1">
      <alignment horizontal="left"/>
    </xf>
    <xf numFmtId="40" fontId="2" fillId="33" borderId="21" xfId="0" applyNumberFormat="1" applyFont="1" applyFill="1" applyBorder="1" applyAlignment="1">
      <alignment horizontal="center"/>
    </xf>
    <xf numFmtId="40" fontId="2" fillId="33" borderId="21" xfId="0" applyNumberFormat="1" applyFont="1" applyFill="1" applyBorder="1" applyAlignment="1">
      <alignment horizontal="center" vertical="center" wrapText="1"/>
    </xf>
    <xf numFmtId="2" fontId="2" fillId="33" borderId="21" xfId="0" applyNumberFormat="1" applyFont="1" applyFill="1" applyBorder="1" applyAlignment="1">
      <alignment horizontal="right"/>
    </xf>
    <xf numFmtId="0" fontId="80" fillId="0" borderId="21" xfId="277" applyBorder="1" applyAlignment="1" applyProtection="1">
      <alignment vertical="center" wrapText="1"/>
    </xf>
    <xf numFmtId="0" fontId="1" fillId="37" borderId="44" xfId="496" applyFont="1" applyFill="1" applyBorder="1" applyAlignment="1"/>
    <xf numFmtId="0" fontId="1" fillId="37" borderId="45" xfId="496" applyFont="1" applyFill="1" applyBorder="1" applyAlignment="1"/>
    <xf numFmtId="0" fontId="3" fillId="0" borderId="46" xfId="0" applyFont="1" applyBorder="1" applyAlignment="1">
      <alignment horizontal="center"/>
    </xf>
    <xf numFmtId="169" fontId="3" fillId="0" borderId="46" xfId="0" applyNumberFormat="1" applyFont="1" applyBorder="1"/>
    <xf numFmtId="4" fontId="3" fillId="0" borderId="46" xfId="0" applyNumberFormat="1" applyFont="1" applyBorder="1"/>
    <xf numFmtId="4" fontId="2" fillId="0" borderId="21" xfId="0" applyNumberFormat="1" applyFont="1" applyBorder="1" applyAlignment="1">
      <alignment horizontal="right" vertical="center"/>
    </xf>
    <xf numFmtId="4" fontId="1" fillId="0" borderId="21" xfId="0" applyNumberFormat="1" applyFont="1" applyBorder="1" applyAlignment="1">
      <alignment horizontal="center" vertical="center"/>
    </xf>
    <xf numFmtId="169" fontId="1" fillId="0" borderId="21" xfId="0" applyNumberFormat="1" applyFont="1" applyBorder="1" applyAlignment="1">
      <alignment horizontal="center" vertical="center"/>
    </xf>
    <xf numFmtId="0" fontId="1" fillId="37" borderId="24" xfId="0" applyFont="1" applyFill="1" applyBorder="1" applyAlignment="1" applyProtection="1"/>
    <xf numFmtId="0" fontId="1" fillId="37" borderId="25" xfId="0" applyFont="1" applyFill="1" applyBorder="1" applyAlignment="1" applyProtection="1"/>
    <xf numFmtId="0" fontId="1" fillId="37" borderId="26" xfId="0" applyFont="1" applyFill="1" applyBorder="1" applyAlignment="1" applyProtection="1"/>
    <xf numFmtId="0" fontId="1" fillId="37" borderId="21" xfId="0" applyFont="1" applyFill="1" applyBorder="1"/>
    <xf numFmtId="165" fontId="1" fillId="37" borderId="21" xfId="0" applyNumberFormat="1" applyFont="1" applyFill="1" applyBorder="1"/>
    <xf numFmtId="0" fontId="1" fillId="37" borderId="21" xfId="0" applyFont="1" applyFill="1" applyBorder="1" applyAlignment="1">
      <alignment horizontal="center" vertical="center" wrapText="1"/>
    </xf>
    <xf numFmtId="0" fontId="1" fillId="37" borderId="21" xfId="0" applyFont="1" applyFill="1" applyBorder="1" applyAlignment="1">
      <alignment horizontal="center"/>
    </xf>
    <xf numFmtId="0" fontId="7" fillId="37" borderId="21" xfId="0" applyFont="1" applyFill="1" applyBorder="1" applyAlignment="1">
      <alignment horizontal="center" vertical="center" wrapText="1"/>
    </xf>
    <xf numFmtId="165" fontId="1" fillId="37" borderId="21" xfId="785" applyFont="1" applyFill="1" applyBorder="1" applyAlignment="1">
      <alignment horizontal="center"/>
    </xf>
    <xf numFmtId="165" fontId="1" fillId="37" borderId="21" xfId="785" applyFont="1" applyFill="1" applyBorder="1"/>
    <xf numFmtId="165" fontId="6" fillId="37" borderId="21" xfId="0" applyNumberFormat="1" applyFont="1" applyFill="1" applyBorder="1"/>
    <xf numFmtId="0" fontId="1" fillId="37" borderId="24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 vertical="center" wrapText="1"/>
    </xf>
    <xf numFmtId="0" fontId="1" fillId="37" borderId="25" xfId="0" applyFont="1" applyFill="1" applyBorder="1" applyAlignment="1">
      <alignment horizontal="center"/>
    </xf>
    <xf numFmtId="0" fontId="1" fillId="37" borderId="21" xfId="0" applyFont="1" applyFill="1" applyBorder="1" applyAlignment="1">
      <alignment horizontal="left" vertical="center" wrapText="1"/>
    </xf>
    <xf numFmtId="169" fontId="1" fillId="37" borderId="21" xfId="0" applyNumberFormat="1" applyFont="1" applyFill="1" applyBorder="1" applyAlignment="1">
      <alignment horizontal="center" wrapText="1"/>
    </xf>
    <xf numFmtId="0" fontId="1" fillId="37" borderId="21" xfId="0" applyFont="1" applyFill="1" applyBorder="1" applyAlignment="1">
      <alignment horizontal="center" wrapText="1"/>
    </xf>
    <xf numFmtId="165" fontId="1" fillId="37" borderId="21" xfId="0" applyNumberFormat="1" applyFont="1" applyFill="1" applyBorder="1" applyAlignment="1">
      <alignment horizontal="center"/>
    </xf>
    <xf numFmtId="0" fontId="1" fillId="37" borderId="25" xfId="0" applyFont="1" applyFill="1" applyBorder="1" applyAlignment="1">
      <alignment horizontal="left" vertical="center" wrapText="1"/>
    </xf>
    <xf numFmtId="169" fontId="1" fillId="37" borderId="25" xfId="0" applyNumberFormat="1" applyFont="1" applyFill="1" applyBorder="1" applyAlignment="1">
      <alignment horizontal="center" wrapText="1"/>
    </xf>
    <xf numFmtId="0" fontId="1" fillId="37" borderId="25" xfId="0" applyFont="1" applyFill="1" applyBorder="1" applyAlignment="1">
      <alignment horizontal="center" wrapText="1"/>
    </xf>
    <xf numFmtId="165" fontId="1" fillId="37" borderId="26" xfId="785" applyFont="1" applyFill="1" applyBorder="1" applyAlignment="1">
      <alignment horizontal="center"/>
    </xf>
    <xf numFmtId="165" fontId="6" fillId="37" borderId="21" xfId="0" applyNumberFormat="1" applyFont="1" applyFill="1" applyBorder="1" applyAlignment="1">
      <alignment horizontal="center"/>
    </xf>
    <xf numFmtId="165" fontId="1" fillId="0" borderId="21" xfId="785" applyFont="1" applyFill="1" applyBorder="1" applyAlignment="1">
      <alignment vertical="center"/>
    </xf>
    <xf numFmtId="165" fontId="1" fillId="0" borderId="21" xfId="785" applyNumberFormat="1" applyFont="1" applyFill="1" applyBorder="1" applyAlignment="1">
      <alignment horizontal="center" vertical="center"/>
    </xf>
    <xf numFmtId="165" fontId="1" fillId="0" borderId="21" xfId="785" applyNumberFormat="1" applyFont="1" applyFill="1" applyBorder="1" applyAlignment="1">
      <alignment horizontal="right" vertical="center"/>
    </xf>
    <xf numFmtId="165" fontId="1" fillId="0" borderId="21" xfId="785" applyFont="1" applyBorder="1" applyAlignment="1">
      <alignment horizontal="right" vertical="center"/>
    </xf>
    <xf numFmtId="165" fontId="1" fillId="0" borderId="21" xfId="785" applyFont="1" applyFill="1" applyBorder="1" applyAlignment="1">
      <alignment horizontal="center" vertical="center"/>
    </xf>
    <xf numFmtId="0" fontId="2" fillId="0" borderId="21" xfId="413" applyFont="1" applyFill="1" applyBorder="1" applyAlignment="1">
      <alignment horizontal="left" vertical="center" wrapText="1"/>
    </xf>
    <xf numFmtId="0" fontId="2" fillId="0" borderId="21" xfId="413" applyFont="1" applyFill="1" applyBorder="1" applyAlignment="1">
      <alignment horizontal="left" vertical="center"/>
    </xf>
    <xf numFmtId="0" fontId="7" fillId="37" borderId="21" xfId="0" applyFont="1" applyFill="1" applyBorder="1" applyAlignment="1">
      <alignment horizontal="center" vertical="center"/>
    </xf>
    <xf numFmtId="169" fontId="7" fillId="37" borderId="21" xfId="0" applyNumberFormat="1" applyFont="1" applyFill="1" applyBorder="1" applyAlignment="1">
      <alignment horizontal="center" vertical="center"/>
    </xf>
    <xf numFmtId="0" fontId="2" fillId="37" borderId="0" xfId="0" applyFont="1" applyFill="1"/>
    <xf numFmtId="0" fontId="2" fillId="37" borderId="0" xfId="0" applyFont="1" applyFill="1" applyBorder="1"/>
    <xf numFmtId="4" fontId="11" fillId="37" borderId="36" xfId="0" applyNumberFormat="1" applyFont="1" applyFill="1" applyBorder="1" applyAlignment="1">
      <alignment horizontal="right" vertical="center"/>
    </xf>
    <xf numFmtId="4" fontId="9" fillId="37" borderId="21" xfId="785" applyNumberFormat="1" applyFont="1" applyFill="1" applyBorder="1" applyAlignment="1">
      <alignment vertical="center" wrapText="1"/>
    </xf>
    <xf numFmtId="0" fontId="11" fillId="37" borderId="21" xfId="0" applyFont="1" applyFill="1" applyBorder="1" applyAlignment="1">
      <alignment horizontal="center" vertical="center"/>
    </xf>
    <xf numFmtId="4" fontId="7" fillId="37" borderId="21" xfId="0" applyNumberFormat="1" applyFont="1" applyFill="1" applyBorder="1" applyAlignment="1">
      <alignment horizontal="center" vertical="center"/>
    </xf>
    <xf numFmtId="4" fontId="3" fillId="37" borderId="46" xfId="0" applyNumberFormat="1" applyFont="1" applyFill="1" applyBorder="1"/>
    <xf numFmtId="4" fontId="2" fillId="37" borderId="0" xfId="0" applyNumberFormat="1" applyFont="1" applyFill="1"/>
    <xf numFmtId="39" fontId="7" fillId="0" borderId="43" xfId="785" applyNumberFormat="1" applyFont="1" applyBorder="1" applyAlignment="1">
      <alignment horizontal="center" vertical="center"/>
    </xf>
    <xf numFmtId="2" fontId="7" fillId="0" borderId="43" xfId="0" applyNumberFormat="1" applyFont="1" applyBorder="1" applyAlignment="1">
      <alignment horizontal="center" vertical="center"/>
    </xf>
    <xf numFmtId="2" fontId="2" fillId="33" borderId="21" xfId="0" applyNumberFormat="1" applyFont="1" applyFill="1" applyBorder="1" applyAlignment="1">
      <alignment horizontal="center" vertical="center"/>
    </xf>
    <xf numFmtId="4" fontId="11" fillId="37" borderId="36" xfId="0" applyNumberFormat="1" applyFont="1" applyFill="1" applyBorder="1" applyAlignment="1">
      <alignment horizontal="right"/>
    </xf>
    <xf numFmtId="4" fontId="7" fillId="37" borderId="36" xfId="0" applyNumberFormat="1" applyFont="1" applyFill="1" applyBorder="1" applyAlignment="1">
      <alignment horizontal="right" vertical="center"/>
    </xf>
    <xf numFmtId="169" fontId="2" fillId="0" borderId="21" xfId="0" applyNumberFormat="1" applyFont="1" applyBorder="1" applyAlignment="1">
      <alignment horizontal="center" vertical="center"/>
    </xf>
    <xf numFmtId="2" fontId="66" fillId="0" borderId="21" xfId="644" applyNumberFormat="1" applyFont="1" applyFill="1" applyBorder="1" applyAlignment="1">
      <alignment horizontal="right"/>
    </xf>
    <xf numFmtId="0" fontId="3" fillId="0" borderId="21" xfId="310" applyFont="1" applyBorder="1" applyAlignment="1">
      <alignment horizontal="center" vertical="center" wrapText="1"/>
    </xf>
    <xf numFmtId="174" fontId="3" fillId="0" borderId="21" xfId="496" applyNumberFormat="1" applyFont="1" applyFill="1" applyBorder="1" applyAlignment="1" applyProtection="1">
      <alignment horizontal="left" vertical="center"/>
      <protection locked="0"/>
    </xf>
    <xf numFmtId="169" fontId="83" fillId="37" borderId="21" xfId="355" applyNumberFormat="1" applyFont="1" applyFill="1" applyBorder="1" applyAlignment="1">
      <alignment vertical="center"/>
    </xf>
    <xf numFmtId="169" fontId="65" fillId="0" borderId="21" xfId="0" applyNumberFormat="1" applyFont="1" applyBorder="1" applyAlignment="1">
      <alignment horizontal="center" vertical="center"/>
    </xf>
    <xf numFmtId="167" fontId="8" fillId="37" borderId="36" xfId="288" applyFont="1" applyFill="1" applyBorder="1" applyAlignment="1">
      <alignment horizontal="center" vertical="center"/>
    </xf>
    <xf numFmtId="0" fontId="2" fillId="33" borderId="26" xfId="0" applyFont="1" applyFill="1" applyBorder="1" applyAlignment="1">
      <alignment horizontal="center" vertical="center"/>
    </xf>
    <xf numFmtId="169" fontId="7" fillId="0" borderId="21" xfId="0" applyNumberFormat="1" applyFont="1" applyFill="1" applyBorder="1" applyAlignment="1">
      <alignment horizontal="center" vertical="center"/>
    </xf>
    <xf numFmtId="170" fontId="2" fillId="0" borderId="21" xfId="644" applyNumberFormat="1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3" fontId="3" fillId="37" borderId="33" xfId="0" applyNumberFormat="1" applyFont="1" applyFill="1" applyBorder="1" applyAlignment="1">
      <alignment horizontal="center" vertical="center" wrapText="1"/>
    </xf>
    <xf numFmtId="0" fontId="1" fillId="37" borderId="26" xfId="500" applyFont="1" applyFill="1" applyBorder="1" applyAlignment="1">
      <alignment vertical="center"/>
    </xf>
    <xf numFmtId="0" fontId="1" fillId="0" borderId="26" xfId="500" applyFont="1" applyFill="1" applyBorder="1" applyAlignment="1">
      <alignment vertical="center"/>
    </xf>
    <xf numFmtId="3" fontId="2" fillId="37" borderId="21" xfId="0" quotePrefix="1" applyNumberFormat="1" applyFont="1" applyFill="1" applyBorder="1" applyAlignment="1">
      <alignment horizontal="center"/>
    </xf>
    <xf numFmtId="169" fontId="2" fillId="37" borderId="21" xfId="0" applyNumberFormat="1" applyFont="1" applyFill="1" applyBorder="1" applyAlignment="1">
      <alignment horizontal="center"/>
    </xf>
    <xf numFmtId="2" fontId="1" fillId="37" borderId="21" xfId="0" applyNumberFormat="1" applyFont="1" applyFill="1" applyBorder="1"/>
    <xf numFmtId="2" fontId="1" fillId="37" borderId="24" xfId="0" applyNumberFormat="1" applyFont="1" applyFill="1" applyBorder="1"/>
    <xf numFmtId="1" fontId="1" fillId="37" borderId="24" xfId="0" applyNumberFormat="1" applyFont="1" applyFill="1" applyBorder="1" applyAlignment="1">
      <alignment horizontal="center"/>
    </xf>
    <xf numFmtId="2" fontId="1" fillId="37" borderId="21" xfId="0" applyNumberFormat="1" applyFont="1" applyFill="1" applyBorder="1" applyAlignment="1">
      <alignment horizontal="right" vertical="center" wrapText="1"/>
    </xf>
    <xf numFmtId="4" fontId="6" fillId="37" borderId="47" xfId="0" applyNumberFormat="1" applyFont="1" applyFill="1" applyBorder="1" applyAlignment="1">
      <alignment horizontal="right" vertical="center"/>
    </xf>
    <xf numFmtId="0" fontId="0" fillId="37" borderId="0" xfId="0" applyFill="1"/>
    <xf numFmtId="0" fontId="6" fillId="37" borderId="21" xfId="0" applyFont="1" applyFill="1" applyBorder="1" applyAlignment="1">
      <alignment vertical="center"/>
    </xf>
    <xf numFmtId="0" fontId="5" fillId="33" borderId="21" xfId="0" applyFont="1" applyFill="1" applyBorder="1" applyAlignment="1">
      <alignment horizontal="center"/>
    </xf>
    <xf numFmtId="0" fontId="5" fillId="33" borderId="21" xfId="0" applyFont="1" applyFill="1" applyBorder="1" applyAlignment="1">
      <alignment horizontal="left"/>
    </xf>
    <xf numFmtId="4" fontId="1" fillId="37" borderId="24" xfId="785" applyNumberFormat="1" applyFont="1" applyFill="1" applyBorder="1" applyAlignment="1">
      <alignment horizontal="right" vertical="center"/>
    </xf>
    <xf numFmtId="165" fontId="1" fillId="37" borderId="24" xfId="785" applyFont="1" applyFill="1" applyBorder="1" applyAlignment="1">
      <alignment horizontal="right"/>
    </xf>
    <xf numFmtId="165" fontId="1" fillId="37" borderId="24" xfId="500" applyNumberFormat="1" applyFont="1" applyFill="1" applyBorder="1" applyAlignment="1">
      <alignment horizontal="right"/>
    </xf>
    <xf numFmtId="4" fontId="1" fillId="37" borderId="24" xfId="500" applyNumberFormat="1" applyFont="1" applyFill="1" applyBorder="1" applyAlignment="1">
      <alignment horizontal="right"/>
    </xf>
    <xf numFmtId="165" fontId="1" fillId="37" borderId="24" xfId="500" applyNumberFormat="1" applyFont="1" applyFill="1" applyBorder="1" applyAlignment="1">
      <alignment horizontal="center"/>
    </xf>
    <xf numFmtId="0" fontId="83" fillId="0" borderId="109" xfId="0" applyFont="1" applyBorder="1"/>
    <xf numFmtId="0" fontId="83" fillId="0" borderId="110" xfId="0" applyFont="1" applyBorder="1"/>
    <xf numFmtId="1" fontId="83" fillId="0" borderId="111" xfId="0" applyNumberFormat="1" applyFont="1" applyBorder="1" applyAlignment="1">
      <alignment horizontal="left"/>
    </xf>
    <xf numFmtId="3" fontId="2" fillId="37" borderId="21" xfId="0" applyNumberFormat="1" applyFont="1" applyFill="1" applyBorder="1" applyAlignment="1">
      <alignment horizontal="center"/>
    </xf>
    <xf numFmtId="3" fontId="3" fillId="37" borderId="48" xfId="0" applyNumberFormat="1" applyFont="1" applyFill="1" applyBorder="1" applyAlignment="1">
      <alignment horizontal="center" vertical="center"/>
    </xf>
    <xf numFmtId="4" fontId="2" fillId="37" borderId="36" xfId="0" applyNumberFormat="1" applyFont="1" applyFill="1" applyBorder="1" applyAlignment="1">
      <alignment horizontal="left"/>
    </xf>
    <xf numFmtId="3" fontId="3" fillId="37" borderId="34" xfId="0" applyNumberFormat="1" applyFont="1" applyFill="1" applyBorder="1" applyAlignment="1">
      <alignment horizontal="center" vertical="center"/>
    </xf>
    <xf numFmtId="3" fontId="3" fillId="37" borderId="38" xfId="0" applyNumberFormat="1" applyFont="1" applyFill="1" applyBorder="1" applyAlignment="1">
      <alignment horizontal="center"/>
    </xf>
    <xf numFmtId="180" fontId="1" fillId="37" borderId="44" xfId="785" applyNumberFormat="1" applyFont="1" applyFill="1" applyBorder="1" applyAlignment="1"/>
    <xf numFmtId="180" fontId="1" fillId="37" borderId="49" xfId="785" applyNumberFormat="1" applyFont="1" applyFill="1" applyBorder="1" applyAlignment="1"/>
    <xf numFmtId="183" fontId="2" fillId="0" borderId="21" xfId="785" applyNumberFormat="1" applyFont="1" applyBorder="1" applyAlignment="1">
      <alignment horizontal="center" vertical="center"/>
    </xf>
    <xf numFmtId="183" fontId="2" fillId="0" borderId="21" xfId="0" applyNumberFormat="1" applyFont="1" applyBorder="1" applyAlignment="1">
      <alignment horizontal="right" vertical="center"/>
    </xf>
    <xf numFmtId="183" fontId="83" fillId="37" borderId="21" xfId="355" applyNumberFormat="1" applyFont="1" applyFill="1" applyBorder="1" applyAlignment="1">
      <alignment vertical="center"/>
    </xf>
    <xf numFmtId="183" fontId="65" fillId="0" borderId="21" xfId="0" applyNumberFormat="1" applyFont="1" applyBorder="1" applyAlignment="1">
      <alignment horizontal="center" vertical="center"/>
    </xf>
    <xf numFmtId="183" fontId="1" fillId="0" borderId="21" xfId="0" applyNumberFormat="1" applyFont="1" applyBorder="1" applyAlignment="1">
      <alignment horizontal="center" vertical="center"/>
    </xf>
    <xf numFmtId="183" fontId="2" fillId="0" borderId="21" xfId="785" applyNumberFormat="1" applyFont="1" applyBorder="1" applyAlignment="1">
      <alignment horizontal="right" vertical="center"/>
    </xf>
    <xf numFmtId="183" fontId="83" fillId="0" borderId="21" xfId="355" applyNumberFormat="1" applyFont="1" applyBorder="1" applyAlignment="1">
      <alignment horizontal="center" vertical="center"/>
    </xf>
    <xf numFmtId="183" fontId="3" fillId="0" borderId="21" xfId="785" applyNumberFormat="1" applyFont="1" applyBorder="1" applyAlignment="1">
      <alignment horizontal="right" vertical="center"/>
    </xf>
    <xf numFmtId="183" fontId="0" fillId="0" borderId="0" xfId="0" applyNumberFormat="1"/>
    <xf numFmtId="170" fontId="1" fillId="0" borderId="0" xfId="0" quotePrefix="1" applyNumberFormat="1" applyFont="1" applyAlignment="1">
      <alignment horizontal="right"/>
    </xf>
    <xf numFmtId="184" fontId="0" fillId="0" borderId="0" xfId="0" applyNumberFormat="1"/>
    <xf numFmtId="165" fontId="0" fillId="0" borderId="0" xfId="785" applyFont="1"/>
    <xf numFmtId="0" fontId="10" fillId="0" borderId="34" xfId="0" applyFont="1" applyFill="1" applyBorder="1" applyAlignment="1">
      <alignment horizontal="left" vertical="center" wrapText="1"/>
    </xf>
    <xf numFmtId="3" fontId="3" fillId="0" borderId="34" xfId="0" applyNumberFormat="1" applyFont="1" applyBorder="1" applyAlignment="1">
      <alignment horizontal="left"/>
    </xf>
    <xf numFmtId="3" fontId="3" fillId="0" borderId="38" xfId="0" applyNumberFormat="1" applyFont="1" applyBorder="1" applyAlignment="1">
      <alignment horizontal="left"/>
    </xf>
    <xf numFmtId="183" fontId="3" fillId="0" borderId="46" xfId="785" applyNumberFormat="1" applyFont="1" applyBorder="1" applyAlignment="1">
      <alignment horizontal="right" vertical="center"/>
    </xf>
    <xf numFmtId="3" fontId="3" fillId="0" borderId="33" xfId="0" applyNumberFormat="1" applyFont="1" applyBorder="1" applyAlignment="1">
      <alignment horizontal="center" vertical="center" wrapText="1"/>
    </xf>
    <xf numFmtId="3" fontId="3" fillId="0" borderId="42" xfId="0" applyNumberFormat="1" applyFont="1" applyBorder="1" applyAlignment="1">
      <alignment vertical="center" wrapText="1"/>
    </xf>
    <xf numFmtId="3" fontId="3" fillId="0" borderId="33" xfId="0" applyNumberFormat="1" applyFont="1" applyBorder="1" applyAlignment="1">
      <alignment vertical="center" wrapText="1"/>
    </xf>
    <xf numFmtId="3" fontId="3" fillId="37" borderId="21" xfId="0" applyNumberFormat="1" applyFont="1" applyFill="1" applyBorder="1" applyAlignment="1">
      <alignment horizontal="center" vertical="center" wrapText="1"/>
    </xf>
    <xf numFmtId="3" fontId="3" fillId="0" borderId="21" xfId="0" applyNumberFormat="1" applyFont="1" applyBorder="1" applyAlignment="1">
      <alignment horizontal="center" vertical="center" wrapText="1"/>
    </xf>
    <xf numFmtId="0" fontId="1" fillId="37" borderId="42" xfId="500" applyFont="1" applyFill="1" applyBorder="1" applyAlignment="1">
      <alignment vertical="center"/>
    </xf>
    <xf numFmtId="3" fontId="2" fillId="37" borderId="21" xfId="0" applyNumberFormat="1" applyFont="1" applyFill="1" applyBorder="1" applyAlignment="1">
      <alignment horizontal="left"/>
    </xf>
    <xf numFmtId="1" fontId="0" fillId="0" borderId="0" xfId="0" applyNumberFormat="1"/>
    <xf numFmtId="0" fontId="94" fillId="0" borderId="21" xfId="0" applyFont="1" applyBorder="1" applyAlignment="1">
      <alignment horizontal="left" vertical="top" wrapText="1"/>
    </xf>
    <xf numFmtId="169" fontId="9" fillId="33" borderId="36" xfId="0" applyNumberFormat="1" applyFont="1" applyFill="1" applyBorder="1" applyAlignment="1">
      <alignment horizontal="center" vertical="center"/>
    </xf>
    <xf numFmtId="169" fontId="9" fillId="33" borderId="36" xfId="0" applyNumberFormat="1" applyFont="1" applyFill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169" fontId="11" fillId="0" borderId="36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169" fontId="7" fillId="0" borderId="36" xfId="413" applyNumberFormat="1" applyFont="1" applyFill="1" applyBorder="1" applyAlignment="1">
      <alignment horizontal="right" vertical="center"/>
    </xf>
    <xf numFmtId="169" fontId="7" fillId="0" borderId="36" xfId="0" applyNumberFormat="1" applyFont="1" applyBorder="1" applyAlignment="1">
      <alignment horizontal="right" vertical="center"/>
    </xf>
    <xf numFmtId="0" fontId="7" fillId="0" borderId="34" xfId="413" applyFont="1" applyFill="1" applyBorder="1" applyAlignment="1">
      <alignment horizontal="center" vertical="center"/>
    </xf>
    <xf numFmtId="0" fontId="11" fillId="0" borderId="34" xfId="413" applyFont="1" applyFill="1" applyBorder="1" applyAlignment="1">
      <alignment horizontal="center" vertical="center"/>
    </xf>
    <xf numFmtId="169" fontId="9" fillId="0" borderId="36" xfId="0" applyNumberFormat="1" applyFont="1" applyBorder="1" applyAlignment="1">
      <alignment horizontal="right" vertical="center"/>
    </xf>
    <xf numFmtId="0" fontId="7" fillId="0" borderId="34" xfId="0" quotePrefix="1" applyFont="1" applyBorder="1" applyAlignment="1">
      <alignment horizontal="center" vertical="center"/>
    </xf>
    <xf numFmtId="0" fontId="6" fillId="0" borderId="34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0" fillId="37" borderId="37" xfId="0" applyNumberFormat="1" applyFont="1" applyFill="1" applyBorder="1" applyAlignment="1">
      <alignment horizontal="left" vertical="center"/>
    </xf>
    <xf numFmtId="0" fontId="8" fillId="37" borderId="50" xfId="0" applyNumberFormat="1" applyFont="1" applyFill="1" applyBorder="1" applyAlignment="1">
      <alignment horizontal="left" vertical="center"/>
    </xf>
    <xf numFmtId="0" fontId="0" fillId="0" borderId="31" xfId="0" applyBorder="1"/>
    <xf numFmtId="0" fontId="0" fillId="0" borderId="32" xfId="0" applyBorder="1"/>
    <xf numFmtId="0" fontId="0" fillId="0" borderId="0" xfId="0" applyBorder="1"/>
    <xf numFmtId="0" fontId="0" fillId="0" borderId="27" xfId="0" applyBorder="1"/>
    <xf numFmtId="0" fontId="7" fillId="0" borderId="51" xfId="0" applyFont="1" applyBorder="1" applyAlignment="1">
      <alignment horizontal="center" vertical="center"/>
    </xf>
    <xf numFmtId="0" fontId="7" fillId="0" borderId="43" xfId="413" applyFont="1" applyFill="1" applyBorder="1" applyAlignment="1">
      <alignment horizontal="center" vertical="center"/>
    </xf>
    <xf numFmtId="0" fontId="7" fillId="0" borderId="43" xfId="413" applyFont="1" applyFill="1" applyBorder="1" applyAlignment="1">
      <alignment horizontal="left" vertical="center" wrapText="1"/>
    </xf>
    <xf numFmtId="0" fontId="7" fillId="0" borderId="43" xfId="0" applyFont="1" applyBorder="1" applyAlignment="1">
      <alignment horizontal="center" vertical="center"/>
    </xf>
    <xf numFmtId="4" fontId="7" fillId="0" borderId="40" xfId="0" applyNumberFormat="1" applyFont="1" applyBorder="1" applyAlignment="1">
      <alignment horizontal="right" vertical="center"/>
    </xf>
    <xf numFmtId="0" fontId="6" fillId="0" borderId="34" xfId="0" applyFont="1" applyBorder="1" applyAlignment="1">
      <alignment horizontal="center" vertical="center"/>
    </xf>
    <xf numFmtId="4" fontId="0" fillId="0" borderId="0" xfId="0" applyNumberFormat="1" applyBorder="1"/>
    <xf numFmtId="4" fontId="0" fillId="0" borderId="27" xfId="0" applyNumberFormat="1" applyBorder="1"/>
    <xf numFmtId="0" fontId="7" fillId="0" borderId="52" xfId="0" applyFont="1" applyBorder="1" applyAlignment="1">
      <alignment horizontal="center" vertical="center"/>
    </xf>
    <xf numFmtId="178" fontId="0" fillId="0" borderId="0" xfId="0" applyNumberFormat="1" applyBorder="1"/>
    <xf numFmtId="0" fontId="0" fillId="0" borderId="28" xfId="0" applyBorder="1"/>
    <xf numFmtId="4" fontId="0" fillId="0" borderId="29" xfId="0" applyNumberFormat="1" applyBorder="1"/>
    <xf numFmtId="3" fontId="1" fillId="0" borderId="21" xfId="0" applyNumberFormat="1" applyFont="1" applyBorder="1" applyAlignment="1">
      <alignment horizontal="center" vertical="center" wrapText="1"/>
    </xf>
    <xf numFmtId="4" fontId="1" fillId="37" borderId="21" xfId="0" applyNumberFormat="1" applyFont="1" applyFill="1" applyBorder="1" applyAlignment="1">
      <alignment horizontal="center" vertical="center"/>
    </xf>
    <xf numFmtId="0" fontId="0" fillId="0" borderId="36" xfId="0" applyBorder="1"/>
    <xf numFmtId="0" fontId="0" fillId="0" borderId="51" xfId="0" applyBorder="1"/>
    <xf numFmtId="0" fontId="0" fillId="0" borderId="43" xfId="0" applyBorder="1"/>
    <xf numFmtId="183" fontId="0" fillId="0" borderId="43" xfId="0" applyNumberFormat="1" applyBorder="1"/>
    <xf numFmtId="0" fontId="0" fillId="0" borderId="40" xfId="0" applyBorder="1"/>
    <xf numFmtId="183" fontId="3" fillId="0" borderId="47" xfId="785" applyNumberFormat="1" applyFont="1" applyFill="1" applyBorder="1" applyAlignment="1">
      <alignment horizontal="right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10" fontId="62" fillId="0" borderId="21" xfId="0" applyNumberFormat="1" applyFont="1" applyFill="1" applyBorder="1" applyAlignment="1">
      <alignment horizontal="center" vertical="center" wrapText="1"/>
    </xf>
    <xf numFmtId="10" fontId="6" fillId="0" borderId="21" xfId="0" applyNumberFormat="1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vertical="center" wrapText="1"/>
    </xf>
    <xf numFmtId="0" fontId="7" fillId="0" borderId="42" xfId="0" applyFont="1" applyFill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3" fillId="0" borderId="46" xfId="0" applyFont="1" applyFill="1" applyBorder="1"/>
    <xf numFmtId="0" fontId="2" fillId="0" borderId="0" xfId="0" applyFont="1" applyFill="1"/>
    <xf numFmtId="0" fontId="0" fillId="0" borderId="21" xfId="0" applyBorder="1" applyAlignment="1">
      <alignment horizontal="center"/>
    </xf>
    <xf numFmtId="0" fontId="7" fillId="37" borderId="21" xfId="413" applyFont="1" applyFill="1" applyBorder="1" applyAlignment="1">
      <alignment horizontal="center" vertical="center"/>
    </xf>
    <xf numFmtId="0" fontId="7" fillId="0" borderId="21" xfId="424" applyFont="1" applyFill="1" applyBorder="1" applyAlignment="1">
      <alignment horizontal="left" vertical="center" wrapText="1"/>
    </xf>
    <xf numFmtId="181" fontId="7" fillId="33" borderId="21" xfId="787" applyNumberFormat="1" applyFont="1" applyFill="1" applyBorder="1" applyAlignment="1" applyProtection="1">
      <alignment horizontal="center" vertical="center"/>
      <protection locked="0"/>
    </xf>
    <xf numFmtId="0" fontId="79" fillId="0" borderId="0" xfId="355"/>
    <xf numFmtId="0" fontId="95" fillId="37" borderId="22" xfId="355" applyFont="1" applyFill="1" applyBorder="1" applyAlignment="1">
      <alignment horizontal="center"/>
    </xf>
    <xf numFmtId="0" fontId="95" fillId="37" borderId="0" xfId="355" applyFont="1" applyFill="1" applyAlignment="1">
      <alignment horizontal="center"/>
    </xf>
    <xf numFmtId="0" fontId="95" fillId="37" borderId="27" xfId="355" applyFont="1" applyFill="1" applyBorder="1" applyAlignment="1">
      <alignment horizontal="center"/>
    </xf>
    <xf numFmtId="0" fontId="95" fillId="37" borderId="22" xfId="355" applyFont="1" applyFill="1" applyBorder="1" applyAlignment="1">
      <alignment horizontal="left" vertical="center"/>
    </xf>
    <xf numFmtId="0" fontId="95" fillId="37" borderId="0" xfId="355" applyFont="1" applyFill="1" applyAlignment="1">
      <alignment horizontal="left" vertical="center"/>
    </xf>
    <xf numFmtId="0" fontId="11" fillId="39" borderId="21" xfId="355" applyFont="1" applyFill="1" applyBorder="1" applyAlignment="1">
      <alignment vertical="center"/>
    </xf>
    <xf numFmtId="0" fontId="11" fillId="39" borderId="36" xfId="355" applyFont="1" applyFill="1" applyBorder="1" applyAlignment="1">
      <alignment vertical="center"/>
    </xf>
    <xf numFmtId="0" fontId="11" fillId="39" borderId="53" xfId="355" applyFont="1" applyFill="1" applyBorder="1" applyAlignment="1">
      <alignment vertical="center"/>
    </xf>
    <xf numFmtId="0" fontId="11" fillId="39" borderId="54" xfId="355" applyFont="1" applyFill="1" applyBorder="1" applyAlignment="1">
      <alignment vertical="center"/>
    </xf>
    <xf numFmtId="0" fontId="11" fillId="39" borderId="55" xfId="355" applyFont="1" applyFill="1" applyBorder="1" applyAlignment="1">
      <alignment vertical="center"/>
    </xf>
    <xf numFmtId="0" fontId="11" fillId="39" borderId="56" xfId="355" applyFont="1" applyFill="1" applyBorder="1" applyAlignment="1">
      <alignment vertical="center"/>
    </xf>
    <xf numFmtId="0" fontId="11" fillId="39" borderId="21" xfId="355" applyFont="1" applyFill="1" applyBorder="1" applyAlignment="1">
      <alignment horizontal="center" vertical="center"/>
    </xf>
    <xf numFmtId="0" fontId="11" fillId="39" borderId="21" xfId="355" applyFont="1" applyFill="1" applyBorder="1" applyAlignment="1">
      <alignment horizontal="center" vertical="center" wrapText="1"/>
    </xf>
    <xf numFmtId="0" fontId="11" fillId="39" borderId="42" xfId="355" applyFont="1" applyFill="1" applyBorder="1" applyAlignment="1">
      <alignment horizontal="center" vertical="center" wrapText="1"/>
    </xf>
    <xf numFmtId="0" fontId="11" fillId="39" borderId="57" xfId="355" applyFont="1" applyFill="1" applyBorder="1" applyAlignment="1">
      <alignment vertical="center"/>
    </xf>
    <xf numFmtId="17" fontId="11" fillId="39" borderId="21" xfId="355" applyNumberFormat="1" applyFont="1" applyFill="1" applyBorder="1" applyAlignment="1">
      <alignment horizontal="center" vertical="center"/>
    </xf>
    <xf numFmtId="0" fontId="11" fillId="39" borderId="43" xfId="355" applyFont="1" applyFill="1" applyBorder="1" applyAlignment="1">
      <alignment horizontal="center" vertical="center" wrapText="1"/>
    </xf>
    <xf numFmtId="0" fontId="95" fillId="0" borderId="34" xfId="355" applyFont="1" applyBorder="1"/>
    <xf numFmtId="0" fontId="96" fillId="0" borderId="21" xfId="355" applyFont="1" applyBorder="1"/>
    <xf numFmtId="170" fontId="96" fillId="0" borderId="21" xfId="355" applyNumberFormat="1" applyFont="1" applyBorder="1"/>
    <xf numFmtId="0" fontId="96" fillId="0" borderId="36" xfId="355" applyFont="1" applyBorder="1"/>
    <xf numFmtId="0" fontId="96" fillId="0" borderId="58" xfId="355" applyFont="1" applyBorder="1"/>
    <xf numFmtId="0" fontId="96" fillId="0" borderId="59" xfId="355" applyFont="1" applyBorder="1"/>
    <xf numFmtId="170" fontId="96" fillId="0" borderId="60" xfId="355" applyNumberFormat="1" applyFont="1" applyBorder="1"/>
    <xf numFmtId="0" fontId="96" fillId="0" borderId="61" xfId="355" applyFont="1" applyBorder="1"/>
    <xf numFmtId="0" fontId="96" fillId="0" borderId="34" xfId="355" applyFont="1" applyBorder="1" applyAlignment="1">
      <alignment horizontal="left" vertical="center"/>
    </xf>
    <xf numFmtId="0" fontId="96" fillId="0" borderId="21" xfId="355" applyFont="1" applyBorder="1" applyAlignment="1">
      <alignment horizontal="center"/>
    </xf>
    <xf numFmtId="170" fontId="96" fillId="0" borderId="62" xfId="355" applyNumberFormat="1" applyFont="1" applyBorder="1"/>
    <xf numFmtId="171" fontId="96" fillId="0" borderId="21" xfId="355" applyNumberFormat="1" applyFont="1" applyBorder="1"/>
    <xf numFmtId="185" fontId="96" fillId="0" borderId="36" xfId="355" applyNumberFormat="1" applyFont="1" applyBorder="1"/>
    <xf numFmtId="0" fontId="96" fillId="0" borderId="63" xfId="355" applyFont="1" applyBorder="1" applyAlignment="1">
      <alignment horizontal="left" vertical="center"/>
    </xf>
    <xf numFmtId="0" fontId="96" fillId="0" borderId="60" xfId="355" applyFont="1" applyBorder="1" applyAlignment="1">
      <alignment horizontal="center"/>
    </xf>
    <xf numFmtId="165" fontId="96" fillId="0" borderId="60" xfId="787" applyFont="1" applyBorder="1"/>
    <xf numFmtId="171" fontId="96" fillId="0" borderId="60" xfId="355" applyNumberFormat="1" applyFont="1" applyBorder="1"/>
    <xf numFmtId="185" fontId="96" fillId="0" borderId="64" xfId="355" applyNumberFormat="1" applyFont="1" applyBorder="1"/>
    <xf numFmtId="185" fontId="96" fillId="0" borderId="36" xfId="355" applyNumberFormat="1" applyFont="1" applyBorder="1" applyAlignment="1">
      <alignment horizontal="right"/>
    </xf>
    <xf numFmtId="170" fontId="96" fillId="0" borderId="65" xfId="355" applyNumberFormat="1" applyFont="1" applyBorder="1"/>
    <xf numFmtId="185" fontId="96" fillId="0" borderId="66" xfId="355" applyNumberFormat="1" applyFont="1" applyBorder="1" applyAlignment="1">
      <alignment horizontal="right"/>
    </xf>
    <xf numFmtId="170" fontId="96" fillId="0" borderId="67" xfId="355" applyNumberFormat="1" applyFont="1" applyBorder="1"/>
    <xf numFmtId="171" fontId="96" fillId="0" borderId="68" xfId="355" applyNumberFormat="1" applyFont="1" applyBorder="1"/>
    <xf numFmtId="170" fontId="96" fillId="0" borderId="26" xfId="355" applyNumberFormat="1" applyFont="1" applyBorder="1"/>
    <xf numFmtId="170" fontId="96" fillId="0" borderId="36" xfId="355" applyNumberFormat="1" applyFont="1" applyBorder="1"/>
    <xf numFmtId="170" fontId="96" fillId="0" borderId="68" xfId="355" applyNumberFormat="1" applyFont="1" applyBorder="1"/>
    <xf numFmtId="170" fontId="96" fillId="0" borderId="66" xfId="355" applyNumberFormat="1" applyFont="1" applyBorder="1"/>
    <xf numFmtId="0" fontId="95" fillId="0" borderId="34" xfId="355" applyFont="1" applyBorder="1" applyAlignment="1">
      <alignment horizontal="left" vertical="center"/>
    </xf>
    <xf numFmtId="0" fontId="96" fillId="0" borderId="21" xfId="355" applyFont="1" applyBorder="1" applyAlignment="1">
      <alignment horizontal="center" vertical="center"/>
    </xf>
    <xf numFmtId="170" fontId="96" fillId="0" borderId="21" xfId="355" applyNumberFormat="1" applyFont="1" applyBorder="1" applyAlignment="1">
      <alignment horizontal="center" vertical="center"/>
    </xf>
    <xf numFmtId="170" fontId="96" fillId="0" borderId="26" xfId="355" applyNumberFormat="1" applyFont="1" applyBorder="1" applyAlignment="1">
      <alignment horizontal="center" vertical="center"/>
    </xf>
    <xf numFmtId="170" fontId="96" fillId="0" borderId="36" xfId="355" applyNumberFormat="1" applyFont="1" applyBorder="1" applyAlignment="1">
      <alignment horizontal="center" vertical="center"/>
    </xf>
    <xf numFmtId="0" fontId="95" fillId="0" borderId="63" xfId="355" applyFont="1" applyBorder="1" applyAlignment="1">
      <alignment horizontal="left" vertical="center"/>
    </xf>
    <xf numFmtId="0" fontId="96" fillId="0" borderId="60" xfId="355" applyFont="1" applyBorder="1" applyAlignment="1">
      <alignment horizontal="center" vertical="center"/>
    </xf>
    <xf numFmtId="170" fontId="96" fillId="0" borderId="60" xfId="355" applyNumberFormat="1" applyFont="1" applyBorder="1" applyAlignment="1">
      <alignment horizontal="center" vertical="center"/>
    </xf>
    <xf numFmtId="170" fontId="96" fillId="0" borderId="67" xfId="355" applyNumberFormat="1" applyFont="1" applyBorder="1" applyAlignment="1">
      <alignment horizontal="center" vertical="center"/>
    </xf>
    <xf numFmtId="17" fontId="11" fillId="39" borderId="46" xfId="355" applyNumberFormat="1" applyFont="1" applyFill="1" applyBorder="1" applyAlignment="1">
      <alignment horizontal="center" vertical="center"/>
    </xf>
    <xf numFmtId="17" fontId="11" fillId="39" borderId="47" xfId="355" applyNumberFormat="1" applyFont="1" applyFill="1" applyBorder="1" applyAlignment="1">
      <alignment horizontal="center" vertical="center"/>
    </xf>
    <xf numFmtId="170" fontId="96" fillId="0" borderId="68" xfId="355" applyNumberFormat="1" applyFont="1" applyBorder="1" applyAlignment="1">
      <alignment horizontal="center" vertical="center"/>
    </xf>
    <xf numFmtId="170" fontId="96" fillId="0" borderId="66" xfId="355" applyNumberFormat="1" applyFont="1" applyBorder="1" applyAlignment="1">
      <alignment horizontal="center" vertical="center"/>
    </xf>
    <xf numFmtId="165" fontId="96" fillId="0" borderId="21" xfId="787" applyFont="1" applyBorder="1" applyAlignment="1">
      <alignment horizontal="center"/>
    </xf>
    <xf numFmtId="165" fontId="96" fillId="0" borderId="60" xfId="787" applyFont="1" applyBorder="1" applyAlignment="1">
      <alignment horizontal="center"/>
    </xf>
    <xf numFmtId="0" fontId="96" fillId="0" borderId="34" xfId="355" applyFont="1" applyBorder="1"/>
    <xf numFmtId="170" fontId="96" fillId="0" borderId="21" xfId="355" applyNumberFormat="1" applyFont="1" applyBorder="1" applyAlignment="1">
      <alignment horizontal="right"/>
    </xf>
    <xf numFmtId="170" fontId="96" fillId="0" borderId="36" xfId="355" applyNumberFormat="1" applyFont="1" applyBorder="1" applyAlignment="1">
      <alignment horizontal="right"/>
    </xf>
    <xf numFmtId="171" fontId="96" fillId="37" borderId="60" xfId="355" applyNumberFormat="1" applyFont="1" applyFill="1" applyBorder="1"/>
    <xf numFmtId="170" fontId="96" fillId="37" borderId="67" xfId="355" applyNumberFormat="1" applyFont="1" applyFill="1" applyBorder="1" applyAlignment="1">
      <alignment horizontal="right"/>
    </xf>
    <xf numFmtId="170" fontId="96" fillId="37" borderId="66" xfId="355" applyNumberFormat="1" applyFont="1" applyFill="1" applyBorder="1" applyAlignment="1">
      <alignment horizontal="right"/>
    </xf>
    <xf numFmtId="0" fontId="96" fillId="0" borderId="63" xfId="355" applyFont="1" applyBorder="1"/>
    <xf numFmtId="0" fontId="96" fillId="0" borderId="60" xfId="355" applyFont="1" applyBorder="1"/>
    <xf numFmtId="0" fontId="96" fillId="37" borderId="60" xfId="355" applyFont="1" applyFill="1" applyBorder="1"/>
    <xf numFmtId="0" fontId="96" fillId="37" borderId="67" xfId="355" applyFont="1" applyFill="1" applyBorder="1"/>
    <xf numFmtId="0" fontId="96" fillId="37" borderId="66" xfId="355" applyFont="1" applyFill="1" applyBorder="1"/>
    <xf numFmtId="186" fontId="95" fillId="0" borderId="36" xfId="355" applyNumberFormat="1" applyFont="1" applyBorder="1"/>
    <xf numFmtId="0" fontId="96" fillId="0" borderId="28" xfId="355" applyFont="1" applyBorder="1"/>
    <xf numFmtId="186" fontId="95" fillId="0" borderId="69" xfId="355" applyNumberFormat="1" applyFont="1" applyBorder="1"/>
    <xf numFmtId="0" fontId="96" fillId="37" borderId="22" xfId="355" applyFont="1" applyFill="1" applyBorder="1"/>
    <xf numFmtId="0" fontId="96" fillId="37" borderId="0" xfId="355" applyFont="1" applyFill="1"/>
    <xf numFmtId="0" fontId="96" fillId="37" borderId="27" xfId="355" applyFont="1" applyFill="1" applyBorder="1"/>
    <xf numFmtId="0" fontId="96" fillId="37" borderId="30" xfId="355" applyFont="1" applyFill="1" applyBorder="1"/>
    <xf numFmtId="0" fontId="96" fillId="37" borderId="31" xfId="355" applyFont="1" applyFill="1" applyBorder="1"/>
    <xf numFmtId="0" fontId="96" fillId="37" borderId="32" xfId="355" applyFont="1" applyFill="1" applyBorder="1"/>
    <xf numFmtId="0" fontId="96" fillId="37" borderId="70" xfId="355" applyFont="1" applyFill="1" applyBorder="1" applyAlignment="1">
      <alignment horizontal="center" vertical="center"/>
    </xf>
    <xf numFmtId="0" fontId="96" fillId="37" borderId="34" xfId="355" applyFont="1" applyFill="1" applyBorder="1"/>
    <xf numFmtId="186" fontId="96" fillId="37" borderId="27" xfId="355" applyNumberFormat="1" applyFont="1" applyFill="1" applyBorder="1"/>
    <xf numFmtId="0" fontId="96" fillId="37" borderId="38" xfId="355" applyFont="1" applyFill="1" applyBorder="1"/>
    <xf numFmtId="0" fontId="79" fillId="37" borderId="23" xfId="355" applyFill="1" applyBorder="1"/>
    <xf numFmtId="0" fontId="79" fillId="37" borderId="28" xfId="355" applyFill="1" applyBorder="1"/>
    <xf numFmtId="0" fontId="79" fillId="37" borderId="29" xfId="355" applyFill="1" applyBorder="1"/>
    <xf numFmtId="0" fontId="95" fillId="0" borderId="63" xfId="355" applyFont="1" applyBorder="1"/>
    <xf numFmtId="0" fontId="0" fillId="0" borderId="0" xfId="0" applyAlignment="1">
      <alignment horizontal="left" vertical="top"/>
    </xf>
    <xf numFmtId="0" fontId="0" fillId="0" borderId="99" xfId="0" applyBorder="1" applyAlignment="1">
      <alignment horizontal="left" vertical="center" wrapText="1"/>
    </xf>
    <xf numFmtId="0" fontId="0" fillId="0" borderId="100" xfId="0" applyBorder="1" applyAlignment="1">
      <alignment horizontal="left" vertical="center" wrapText="1"/>
    </xf>
    <xf numFmtId="0" fontId="0" fillId="0" borderId="101" xfId="0" applyBorder="1" applyAlignment="1">
      <alignment horizontal="left" vertical="center" wrapText="1"/>
    </xf>
    <xf numFmtId="0" fontId="0" fillId="0" borderId="110" xfId="0" applyBorder="1" applyAlignment="1">
      <alignment horizontal="left" vertical="center" wrapText="1"/>
    </xf>
    <xf numFmtId="0" fontId="73" fillId="0" borderId="99" xfId="0" applyFont="1" applyBorder="1" applyAlignment="1">
      <alignment horizontal="center" vertical="top" wrapText="1"/>
    </xf>
    <xf numFmtId="0" fontId="73" fillId="0" borderId="100" xfId="0" applyFont="1" applyBorder="1" applyAlignment="1">
      <alignment horizontal="left" vertical="top" wrapText="1" indent="1"/>
    </xf>
    <xf numFmtId="0" fontId="0" fillId="0" borderId="100" xfId="0" applyBorder="1" applyAlignment="1">
      <alignment horizontal="center" vertical="top" wrapText="1"/>
    </xf>
    <xf numFmtId="0" fontId="0" fillId="0" borderId="100" xfId="0" applyBorder="1" applyAlignment="1">
      <alignment horizontal="left" vertical="top" wrapText="1" indent="2"/>
    </xf>
    <xf numFmtId="0" fontId="0" fillId="0" borderId="100" xfId="0" applyBorder="1" applyAlignment="1">
      <alignment horizontal="left" vertical="top" wrapText="1"/>
    </xf>
    <xf numFmtId="0" fontId="0" fillId="0" borderId="101" xfId="0" applyBorder="1" applyAlignment="1">
      <alignment horizontal="center" vertical="top" wrapText="1"/>
    </xf>
    <xf numFmtId="0" fontId="73" fillId="0" borderId="99" xfId="0" applyFont="1" applyBorder="1" applyAlignment="1">
      <alignment horizontal="center" vertical="center" wrapText="1"/>
    </xf>
    <xf numFmtId="0" fontId="73" fillId="0" borderId="100" xfId="0" applyFont="1" applyBorder="1" applyAlignment="1">
      <alignment horizontal="left" vertical="center" wrapText="1"/>
    </xf>
    <xf numFmtId="0" fontId="0" fillId="0" borderId="100" xfId="0" applyBorder="1" applyAlignment="1">
      <alignment horizontal="center" vertical="center" wrapText="1"/>
    </xf>
    <xf numFmtId="0" fontId="0" fillId="0" borderId="101" xfId="0" applyBorder="1" applyAlignment="1">
      <alignment horizontal="center" vertical="center" wrapText="1"/>
    </xf>
    <xf numFmtId="0" fontId="73" fillId="0" borderId="100" xfId="0" applyFont="1" applyBorder="1" applyAlignment="1">
      <alignment horizontal="center" vertical="center" wrapText="1"/>
    </xf>
    <xf numFmtId="187" fontId="97" fillId="0" borderId="100" xfId="0" applyNumberFormat="1" applyFont="1" applyBorder="1" applyAlignment="1">
      <alignment horizontal="center" vertical="center" shrinkToFit="1"/>
    </xf>
    <xf numFmtId="4" fontId="97" fillId="0" borderId="100" xfId="0" applyNumberFormat="1" applyFont="1" applyBorder="1" applyAlignment="1">
      <alignment horizontal="right" vertical="center" shrinkToFit="1"/>
    </xf>
    <xf numFmtId="10" fontId="97" fillId="0" borderId="100" xfId="0" applyNumberFormat="1" applyFont="1" applyBorder="1" applyAlignment="1">
      <alignment horizontal="right" vertical="center" shrinkToFit="1"/>
    </xf>
    <xf numFmtId="2" fontId="97" fillId="0" borderId="100" xfId="0" applyNumberFormat="1" applyFont="1" applyBorder="1" applyAlignment="1">
      <alignment horizontal="right" vertical="center" shrinkToFit="1"/>
    </xf>
    <xf numFmtId="0" fontId="73" fillId="0" borderId="100" xfId="0" applyFont="1" applyBorder="1" applyAlignment="1">
      <alignment horizontal="right" vertical="center" wrapText="1"/>
    </xf>
    <xf numFmtId="4" fontId="98" fillId="0" borderId="101" xfId="0" applyNumberFormat="1" applyFont="1" applyBorder="1" applyAlignment="1">
      <alignment horizontal="right" vertical="center" shrinkToFit="1"/>
    </xf>
    <xf numFmtId="0" fontId="71" fillId="0" borderId="99" xfId="0" applyFont="1" applyBorder="1" applyAlignment="1">
      <alignment horizontal="center" vertical="center" wrapText="1"/>
    </xf>
    <xf numFmtId="0" fontId="73" fillId="0" borderId="100" xfId="0" applyFont="1" applyBorder="1" applyAlignment="1">
      <alignment horizontal="left" vertical="center" wrapText="1" indent="2"/>
    </xf>
    <xf numFmtId="0" fontId="73" fillId="0" borderId="100" xfId="0" applyFont="1" applyBorder="1" applyAlignment="1">
      <alignment horizontal="left" vertical="center" wrapText="1" indent="1"/>
    </xf>
    <xf numFmtId="0" fontId="0" fillId="37" borderId="23" xfId="0" applyFill="1" applyBorder="1" applyAlignment="1">
      <alignment horizontal="left" vertical="center"/>
    </xf>
    <xf numFmtId="0" fontId="0" fillId="37" borderId="28" xfId="0" applyFill="1" applyBorder="1" applyAlignment="1">
      <alignment horizontal="left" vertical="center"/>
    </xf>
    <xf numFmtId="0" fontId="0" fillId="37" borderId="29" xfId="0" applyFill="1" applyBorder="1" applyAlignment="1">
      <alignment horizontal="left" vertical="center"/>
    </xf>
    <xf numFmtId="0" fontId="73" fillId="37" borderId="99" xfId="0" applyFont="1" applyFill="1" applyBorder="1" applyAlignment="1">
      <alignment horizontal="center" vertical="center" wrapText="1"/>
    </xf>
    <xf numFmtId="0" fontId="73" fillId="37" borderId="100" xfId="0" applyFont="1" applyFill="1" applyBorder="1" applyAlignment="1">
      <alignment horizontal="left" vertical="center" wrapText="1" indent="2"/>
    </xf>
    <xf numFmtId="0" fontId="73" fillId="37" borderId="100" xfId="0" applyFont="1" applyFill="1" applyBorder="1" applyAlignment="1">
      <alignment horizontal="center" vertical="center" wrapText="1"/>
    </xf>
    <xf numFmtId="4" fontId="97" fillId="37" borderId="100" xfId="0" applyNumberFormat="1" applyFont="1" applyFill="1" applyBorder="1" applyAlignment="1">
      <alignment horizontal="right" vertical="center" shrinkToFit="1"/>
    </xf>
    <xf numFmtId="10" fontId="97" fillId="37" borderId="100" xfId="0" applyNumberFormat="1" applyFont="1" applyFill="1" applyBorder="1" applyAlignment="1">
      <alignment horizontal="right" vertical="center" shrinkToFit="1"/>
    </xf>
    <xf numFmtId="2" fontId="97" fillId="37" borderId="100" xfId="0" applyNumberFormat="1" applyFont="1" applyFill="1" applyBorder="1" applyAlignment="1">
      <alignment horizontal="right" vertical="center" shrinkToFit="1"/>
    </xf>
    <xf numFmtId="0" fontId="73" fillId="37" borderId="100" xfId="0" applyFont="1" applyFill="1" applyBorder="1" applyAlignment="1">
      <alignment horizontal="right" vertical="center" wrapText="1"/>
    </xf>
    <xf numFmtId="4" fontId="98" fillId="37" borderId="101" xfId="0" applyNumberFormat="1" applyFont="1" applyFill="1" applyBorder="1" applyAlignment="1">
      <alignment horizontal="right" vertical="center" shrinkToFit="1"/>
    </xf>
    <xf numFmtId="0" fontId="0" fillId="37" borderId="0" xfId="0" applyFill="1" applyAlignment="1">
      <alignment horizontal="left" vertical="top"/>
    </xf>
    <xf numFmtId="0" fontId="73" fillId="0" borderId="99" xfId="0" applyFont="1" applyBorder="1" applyAlignment="1">
      <alignment horizontal="center" wrapText="1"/>
    </xf>
    <xf numFmtId="0" fontId="71" fillId="37" borderId="30" xfId="0" applyFont="1" applyFill="1" applyBorder="1" applyAlignment="1">
      <alignment horizontal="left" vertical="center"/>
    </xf>
    <xf numFmtId="0" fontId="0" fillId="37" borderId="31" xfId="0" applyFill="1" applyBorder="1" applyAlignment="1">
      <alignment horizontal="left" vertical="top"/>
    </xf>
    <xf numFmtId="0" fontId="0" fillId="37" borderId="32" xfId="0" applyFill="1" applyBorder="1" applyAlignment="1">
      <alignment horizontal="left" vertical="top"/>
    </xf>
    <xf numFmtId="0" fontId="71" fillId="37" borderId="22" xfId="0" applyFont="1" applyFill="1" applyBorder="1" applyAlignment="1">
      <alignment horizontal="left" vertical="center"/>
    </xf>
    <xf numFmtId="0" fontId="0" fillId="37" borderId="27" xfId="0" applyFill="1" applyBorder="1" applyAlignment="1">
      <alignment horizontal="left" vertical="top"/>
    </xf>
    <xf numFmtId="0" fontId="71" fillId="37" borderId="23" xfId="0" applyFont="1" applyFill="1" applyBorder="1" applyAlignment="1">
      <alignment horizontal="left" vertical="center"/>
    </xf>
    <xf numFmtId="0" fontId="0" fillId="37" borderId="28" xfId="0" applyFill="1" applyBorder="1" applyAlignment="1">
      <alignment horizontal="left" vertical="top"/>
    </xf>
    <xf numFmtId="0" fontId="0" fillId="37" borderId="29" xfId="0" applyFill="1" applyBorder="1" applyAlignment="1">
      <alignment horizontal="left" vertical="top"/>
    </xf>
    <xf numFmtId="0" fontId="7" fillId="33" borderId="21" xfId="496" applyNumberFormat="1" applyFont="1" applyFill="1" applyBorder="1" applyAlignment="1">
      <alignment horizontal="center" vertical="center" wrapText="1"/>
    </xf>
    <xf numFmtId="0" fontId="7" fillId="33" borderId="21" xfId="499" applyFont="1" applyFill="1" applyBorder="1" applyAlignment="1">
      <alignment horizontal="center" vertical="center"/>
    </xf>
    <xf numFmtId="0" fontId="7" fillId="37" borderId="21" xfId="496" applyNumberFormat="1" applyFont="1" applyFill="1" applyBorder="1" applyAlignment="1">
      <alignment horizontal="center" vertical="center" wrapText="1"/>
    </xf>
    <xf numFmtId="0" fontId="6" fillId="0" borderId="21" xfId="413" applyFont="1" applyFill="1" applyBorder="1" applyAlignment="1">
      <alignment horizontal="center" vertical="center"/>
    </xf>
    <xf numFmtId="0" fontId="1" fillId="0" borderId="21" xfId="413" applyFont="1" applyFill="1" applyBorder="1" applyAlignment="1">
      <alignment horizontal="center" vertical="center"/>
    </xf>
    <xf numFmtId="0" fontId="6" fillId="0" borderId="21" xfId="0" applyFont="1" applyBorder="1" applyAlignment="1">
      <alignment horizontal="left" vertical="center"/>
    </xf>
    <xf numFmtId="0" fontId="1" fillId="0" borderId="21" xfId="424" applyFont="1" applyFill="1" applyBorder="1" applyAlignment="1">
      <alignment horizontal="left" vertical="center" wrapText="1"/>
    </xf>
    <xf numFmtId="174" fontId="6" fillId="33" borderId="21" xfId="496" applyNumberFormat="1" applyFont="1" applyFill="1" applyBorder="1" applyAlignment="1" applyProtection="1">
      <alignment horizontal="left" vertical="center"/>
      <protection locked="0"/>
    </xf>
    <xf numFmtId="181" fontId="1" fillId="33" borderId="21" xfId="787" applyNumberFormat="1" applyFont="1" applyFill="1" applyBorder="1" applyAlignment="1" applyProtection="1">
      <alignment horizontal="center" vertical="center"/>
      <protection locked="0"/>
    </xf>
    <xf numFmtId="174" fontId="7" fillId="33" borderId="21" xfId="497" applyNumberFormat="1" applyFont="1" applyFill="1" applyBorder="1" applyAlignment="1" applyProtection="1">
      <alignment horizontal="center" vertical="center"/>
      <protection locked="0"/>
    </xf>
    <xf numFmtId="0" fontId="7" fillId="0" borderId="42" xfId="413" applyFont="1" applyFill="1" applyBorder="1" applyAlignment="1">
      <alignment horizontal="left" vertical="center"/>
    </xf>
    <xf numFmtId="0" fontId="7" fillId="33" borderId="42" xfId="0" applyFont="1" applyFill="1" applyBorder="1" applyAlignment="1">
      <alignment horizontal="center" vertical="center"/>
    </xf>
    <xf numFmtId="169" fontId="7" fillId="0" borderId="71" xfId="413" applyNumberFormat="1" applyFont="1" applyFill="1" applyBorder="1" applyAlignment="1">
      <alignment horizontal="right" vertical="center"/>
    </xf>
    <xf numFmtId="0" fontId="2" fillId="37" borderId="21" xfId="413" applyFont="1" applyFill="1" applyBorder="1" applyAlignment="1">
      <alignment horizontal="center" vertical="center"/>
    </xf>
    <xf numFmtId="187" fontId="1" fillId="0" borderId="21" xfId="0" applyNumberFormat="1" applyFont="1" applyBorder="1" applyAlignment="1">
      <alignment horizontal="center" vertical="center"/>
    </xf>
    <xf numFmtId="0" fontId="1" fillId="0" borderId="21" xfId="413" applyFont="1" applyFill="1" applyBorder="1" applyAlignment="1">
      <alignment horizontal="left" vertical="center" wrapText="1"/>
    </xf>
    <xf numFmtId="169" fontId="6" fillId="0" borderId="36" xfId="0" applyNumberFormat="1" applyFont="1" applyFill="1" applyBorder="1"/>
    <xf numFmtId="169" fontId="1" fillId="0" borderId="36" xfId="413" applyNumberFormat="1" applyFont="1" applyFill="1" applyBorder="1" applyAlignment="1">
      <alignment horizontal="right" vertical="center"/>
    </xf>
    <xf numFmtId="0" fontId="7" fillId="37" borderId="34" xfId="0" applyFont="1" applyFill="1" applyBorder="1" applyAlignment="1">
      <alignment horizontal="center" vertical="center" wrapText="1"/>
    </xf>
    <xf numFmtId="0" fontId="77" fillId="0" borderId="0" xfId="0" applyFont="1" applyBorder="1" applyAlignment="1">
      <alignment horizontal="left" vertical="center" wrapText="1"/>
    </xf>
    <xf numFmtId="0" fontId="0" fillId="0" borderId="34" xfId="0" applyBorder="1"/>
    <xf numFmtId="169" fontId="0" fillId="0" borderId="36" xfId="0" applyNumberFormat="1" applyBorder="1" applyAlignment="1">
      <alignment horizontal="center"/>
    </xf>
    <xf numFmtId="169" fontId="1" fillId="33" borderId="36" xfId="787" applyNumberFormat="1" applyFont="1" applyFill="1" applyBorder="1" applyAlignment="1" applyProtection="1">
      <alignment horizontal="right" vertical="center"/>
      <protection locked="0"/>
    </xf>
    <xf numFmtId="0" fontId="7" fillId="0" borderId="34" xfId="0" applyFont="1" applyBorder="1" applyAlignment="1">
      <alignment horizontal="center"/>
    </xf>
    <xf numFmtId="169" fontId="7" fillId="0" borderId="36" xfId="787" applyNumberFormat="1" applyFont="1" applyFill="1" applyBorder="1" applyAlignment="1" applyProtection="1">
      <alignment horizontal="right" vertical="center"/>
      <protection locked="0"/>
    </xf>
    <xf numFmtId="0" fontId="7" fillId="0" borderId="38" xfId="0" applyFont="1" applyBorder="1" applyAlignment="1">
      <alignment horizontal="center"/>
    </xf>
    <xf numFmtId="0" fontId="7" fillId="0" borderId="46" xfId="413" applyFont="1" applyFill="1" applyBorder="1" applyAlignment="1">
      <alignment horizontal="center" vertical="center"/>
    </xf>
    <xf numFmtId="0" fontId="7" fillId="0" borderId="46" xfId="424" applyFont="1" applyFill="1" applyBorder="1" applyAlignment="1">
      <alignment horizontal="left" vertical="center" wrapText="1"/>
    </xf>
    <xf numFmtId="0" fontId="7" fillId="33" borderId="46" xfId="499" applyFont="1" applyFill="1" applyBorder="1" applyAlignment="1">
      <alignment horizontal="center" vertical="center"/>
    </xf>
    <xf numFmtId="169" fontId="7" fillId="0" borderId="47" xfId="499" applyNumberFormat="1" applyFont="1" applyFill="1" applyBorder="1" applyAlignment="1">
      <alignment horizontal="right" vertical="center"/>
    </xf>
    <xf numFmtId="170" fontId="2" fillId="0" borderId="0" xfId="0" applyNumberFormat="1" applyFont="1"/>
    <xf numFmtId="0" fontId="7" fillId="0" borderId="21" xfId="496" applyNumberFormat="1" applyFont="1" applyFill="1" applyBorder="1" applyAlignment="1" applyProtection="1">
      <alignment horizontal="center" vertical="center"/>
      <protection locked="0"/>
    </xf>
    <xf numFmtId="0" fontId="0" fillId="0" borderId="36" xfId="0" applyFill="1" applyBorder="1" applyAlignment="1">
      <alignment vertical="center"/>
    </xf>
    <xf numFmtId="0" fontId="7" fillId="0" borderId="24" xfId="413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vertical="center" wrapText="1"/>
    </xf>
    <xf numFmtId="0" fontId="7" fillId="0" borderId="26" xfId="413" applyFont="1" applyFill="1" applyBorder="1" applyAlignment="1">
      <alignment horizontal="center" vertical="center"/>
    </xf>
    <xf numFmtId="3" fontId="69" fillId="0" borderId="34" xfId="0" applyNumberFormat="1" applyFont="1" applyBorder="1" applyAlignment="1">
      <alignment horizontal="left" vertical="center"/>
    </xf>
    <xf numFmtId="0" fontId="78" fillId="0" borderId="0" xfId="0" applyFont="1" applyAlignment="1">
      <alignment vertical="center" wrapText="1"/>
    </xf>
    <xf numFmtId="170" fontId="7" fillId="0" borderId="21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69" fontId="7" fillId="42" borderId="36" xfId="413" applyNumberFormat="1" applyFont="1" applyFill="1" applyBorder="1" applyAlignment="1">
      <alignment horizontal="right" vertical="center"/>
    </xf>
    <xf numFmtId="10" fontId="2" fillId="0" borderId="0" xfId="0" applyNumberFormat="1" applyFont="1" applyBorder="1"/>
    <xf numFmtId="165" fontId="7" fillId="0" borderId="21" xfId="785" applyFont="1" applyFill="1" applyBorder="1" applyAlignment="1">
      <alignment horizontal="center" vertical="center"/>
    </xf>
    <xf numFmtId="165" fontId="11" fillId="0" borderId="21" xfId="785" applyFont="1" applyFill="1" applyBorder="1" applyAlignment="1">
      <alignment horizontal="center" vertical="center"/>
    </xf>
    <xf numFmtId="165" fontId="7" fillId="0" borderId="42" xfId="785" applyFont="1" applyFill="1" applyBorder="1" applyAlignment="1">
      <alignment horizontal="center" vertical="center"/>
    </xf>
    <xf numFmtId="165" fontId="7" fillId="0" borderId="43" xfId="785" applyFont="1" applyFill="1" applyBorder="1" applyAlignment="1">
      <alignment horizontal="center" vertical="center"/>
    </xf>
    <xf numFmtId="165" fontId="7" fillId="0" borderId="21" xfId="785" applyFont="1" applyBorder="1" applyAlignment="1">
      <alignment horizontal="center" vertical="center"/>
    </xf>
    <xf numFmtId="165" fontId="7" fillId="37" borderId="21" xfId="785" applyFont="1" applyFill="1" applyBorder="1" applyAlignment="1">
      <alignment horizontal="center" vertical="center"/>
    </xf>
    <xf numFmtId="165" fontId="11" fillId="0" borderId="21" xfId="785" applyFont="1" applyBorder="1" applyAlignment="1">
      <alignment horizontal="center" vertical="center"/>
    </xf>
    <xf numFmtId="165" fontId="7" fillId="0" borderId="42" xfId="785" applyFont="1" applyBorder="1" applyAlignment="1">
      <alignment horizontal="center" vertical="center"/>
    </xf>
    <xf numFmtId="165" fontId="7" fillId="0" borderId="43" xfId="785" applyFont="1" applyBorder="1" applyAlignment="1">
      <alignment horizontal="center" vertical="center"/>
    </xf>
    <xf numFmtId="4" fontId="10" fillId="37" borderId="71" xfId="0" applyNumberFormat="1" applyFont="1" applyFill="1" applyBorder="1" applyAlignment="1">
      <alignment horizontal="center" vertical="center"/>
    </xf>
    <xf numFmtId="4" fontId="10" fillId="37" borderId="72" xfId="0" applyNumberFormat="1" applyFont="1" applyFill="1" applyBorder="1" applyAlignment="1">
      <alignment horizontal="center" vertical="center"/>
    </xf>
    <xf numFmtId="4" fontId="10" fillId="37" borderId="40" xfId="0" applyNumberFormat="1" applyFont="1" applyFill="1" applyBorder="1" applyAlignment="1">
      <alignment horizontal="center" vertical="center"/>
    </xf>
    <xf numFmtId="0" fontId="9" fillId="37" borderId="48" xfId="0" applyFont="1" applyFill="1" applyBorder="1" applyAlignment="1">
      <alignment horizontal="center" vertical="center"/>
    </xf>
    <xf numFmtId="0" fontId="0" fillId="37" borderId="52" xfId="0" applyFill="1" applyBorder="1" applyAlignment="1">
      <alignment horizontal="center" vertical="center"/>
    </xf>
    <xf numFmtId="0" fontId="0" fillId="37" borderId="51" xfId="0" applyFill="1" applyBorder="1" applyAlignment="1">
      <alignment horizontal="center" vertical="center"/>
    </xf>
    <xf numFmtId="0" fontId="9" fillId="37" borderId="42" xfId="0" applyFont="1" applyFill="1" applyBorder="1" applyAlignment="1">
      <alignment horizontal="left" vertical="center" wrapText="1"/>
    </xf>
    <xf numFmtId="0" fontId="0" fillId="37" borderId="33" xfId="0" applyFill="1" applyBorder="1" applyAlignment="1">
      <alignment horizontal="left" vertical="center" wrapText="1"/>
    </xf>
    <xf numFmtId="0" fontId="0" fillId="37" borderId="43" xfId="0" applyFill="1" applyBorder="1" applyAlignment="1">
      <alignment horizontal="left" vertical="center" wrapText="1"/>
    </xf>
    <xf numFmtId="0" fontId="8" fillId="37" borderId="70" xfId="0" applyNumberFormat="1" applyFont="1" applyFill="1" applyBorder="1" applyAlignment="1">
      <alignment horizontal="center" vertical="center"/>
    </xf>
    <xf numFmtId="0" fontId="8" fillId="37" borderId="76" xfId="0" applyNumberFormat="1" applyFont="1" applyFill="1" applyBorder="1" applyAlignment="1">
      <alignment horizontal="center" vertical="center"/>
    </xf>
    <xf numFmtId="0" fontId="8" fillId="37" borderId="35" xfId="0" applyNumberFormat="1" applyFont="1" applyFill="1" applyBorder="1" applyAlignment="1">
      <alignment horizontal="center" vertical="center"/>
    </xf>
    <xf numFmtId="0" fontId="8" fillId="37" borderId="34" xfId="0" applyNumberFormat="1" applyFont="1" applyFill="1" applyBorder="1" applyAlignment="1">
      <alignment horizontal="center" vertical="center"/>
    </xf>
    <xf numFmtId="0" fontId="8" fillId="37" borderId="21" xfId="0" applyNumberFormat="1" applyFont="1" applyFill="1" applyBorder="1" applyAlignment="1">
      <alignment horizontal="center" vertical="center"/>
    </xf>
    <xf numFmtId="0" fontId="8" fillId="37" borderId="36" xfId="0" applyNumberFormat="1" applyFont="1" applyFill="1" applyBorder="1" applyAlignment="1">
      <alignment horizontal="center" vertical="center"/>
    </xf>
    <xf numFmtId="0" fontId="9" fillId="37" borderId="21" xfId="0" applyFont="1" applyFill="1" applyBorder="1" applyAlignment="1">
      <alignment horizontal="center" vertical="center"/>
    </xf>
    <xf numFmtId="0" fontId="9" fillId="37" borderId="34" xfId="0" applyNumberFormat="1" applyFont="1" applyFill="1" applyBorder="1" applyAlignment="1">
      <alignment vertical="center"/>
    </xf>
    <xf numFmtId="0" fontId="9" fillId="37" borderId="42" xfId="0" applyFont="1" applyFill="1" applyBorder="1" applyAlignment="1">
      <alignment horizontal="left" vertical="center"/>
    </xf>
    <xf numFmtId="0" fontId="0" fillId="37" borderId="33" xfId="0" applyFill="1" applyBorder="1" applyAlignment="1">
      <alignment horizontal="left" vertical="center"/>
    </xf>
    <xf numFmtId="0" fontId="0" fillId="37" borderId="43" xfId="0" applyFill="1" applyBorder="1" applyAlignment="1">
      <alignment horizontal="left" vertical="center"/>
    </xf>
    <xf numFmtId="0" fontId="6" fillId="37" borderId="37" xfId="0" applyNumberFormat="1" applyFont="1" applyFill="1" applyBorder="1" applyAlignment="1">
      <alignment horizontal="left"/>
    </xf>
    <xf numFmtId="0" fontId="6" fillId="37" borderId="25" xfId="0" applyNumberFormat="1" applyFont="1" applyFill="1" applyBorder="1" applyAlignment="1">
      <alignment horizontal="left"/>
    </xf>
    <xf numFmtId="0" fontId="6" fillId="37" borderId="39" xfId="0" applyNumberFormat="1" applyFont="1" applyFill="1" applyBorder="1" applyAlignment="1">
      <alignment horizontal="left"/>
    </xf>
    <xf numFmtId="0" fontId="6" fillId="37" borderId="37" xfId="0" applyFont="1" applyFill="1" applyBorder="1" applyAlignment="1">
      <alignment horizontal="left" vertical="center" wrapText="1"/>
    </xf>
    <xf numFmtId="0" fontId="6" fillId="37" borderId="25" xfId="0" applyFont="1" applyFill="1" applyBorder="1" applyAlignment="1">
      <alignment horizontal="left" vertical="center" wrapText="1"/>
    </xf>
    <xf numFmtId="0" fontId="6" fillId="37" borderId="39" xfId="0" applyFont="1" applyFill="1" applyBorder="1" applyAlignment="1">
      <alignment horizontal="left" vertical="center" wrapText="1"/>
    </xf>
    <xf numFmtId="0" fontId="0" fillId="37" borderId="42" xfId="0" applyFill="1" applyBorder="1" applyAlignment="1">
      <alignment horizontal="left" vertical="center"/>
    </xf>
    <xf numFmtId="0" fontId="9" fillId="37" borderId="33" xfId="0" applyFont="1" applyFill="1" applyBorder="1" applyAlignment="1">
      <alignment horizontal="left" vertical="center"/>
    </xf>
    <xf numFmtId="0" fontId="9" fillId="37" borderId="43" xfId="0" applyFont="1" applyFill="1" applyBorder="1" applyAlignment="1">
      <alignment horizontal="left" vertical="center"/>
    </xf>
    <xf numFmtId="0" fontId="10" fillId="37" borderId="37" xfId="0" applyNumberFormat="1" applyFont="1" applyFill="1" applyBorder="1" applyAlignment="1">
      <alignment horizontal="left" vertical="center"/>
    </xf>
    <xf numFmtId="0" fontId="10" fillId="37" borderId="26" xfId="0" applyNumberFormat="1" applyFont="1" applyFill="1" applyBorder="1" applyAlignment="1">
      <alignment horizontal="left" vertical="center"/>
    </xf>
    <xf numFmtId="0" fontId="0" fillId="37" borderId="42" xfId="0" applyFill="1" applyBorder="1" applyAlignment="1">
      <alignment horizontal="left" vertical="center" wrapText="1"/>
    </xf>
    <xf numFmtId="0" fontId="8" fillId="37" borderId="73" xfId="0" applyNumberFormat="1" applyFont="1" applyFill="1" applyBorder="1" applyAlignment="1">
      <alignment horizontal="left" vertical="center"/>
    </xf>
    <xf numFmtId="0" fontId="8" fillId="37" borderId="74" xfId="0" applyNumberFormat="1" applyFont="1" applyFill="1" applyBorder="1" applyAlignment="1">
      <alignment horizontal="left" vertical="center"/>
    </xf>
    <xf numFmtId="0" fontId="8" fillId="37" borderId="22" xfId="0" applyNumberFormat="1" applyFont="1" applyFill="1" applyBorder="1" applyAlignment="1">
      <alignment horizontal="left" vertical="center"/>
    </xf>
    <xf numFmtId="0" fontId="8" fillId="37" borderId="75" xfId="0" applyNumberFormat="1" applyFont="1" applyFill="1" applyBorder="1" applyAlignment="1">
      <alignment horizontal="left" vertical="center"/>
    </xf>
    <xf numFmtId="0" fontId="8" fillId="37" borderId="41" xfId="0" applyNumberFormat="1" applyFont="1" applyFill="1" applyBorder="1" applyAlignment="1">
      <alignment horizontal="left" vertical="center"/>
    </xf>
    <xf numFmtId="0" fontId="8" fillId="37" borderId="50" xfId="0" applyNumberFormat="1" applyFont="1" applyFill="1" applyBorder="1" applyAlignment="1">
      <alignment horizontal="left" vertical="center"/>
    </xf>
    <xf numFmtId="167" fontId="8" fillId="37" borderId="71" xfId="288" applyFont="1" applyFill="1" applyBorder="1" applyAlignment="1">
      <alignment horizontal="center" vertical="center"/>
    </xf>
    <xf numFmtId="167" fontId="8" fillId="37" borderId="72" xfId="288" applyFont="1" applyFill="1" applyBorder="1" applyAlignment="1">
      <alignment horizontal="center" vertical="center"/>
    </xf>
    <xf numFmtId="167" fontId="8" fillId="37" borderId="40" xfId="288" applyFont="1" applyFill="1" applyBorder="1" applyAlignment="1">
      <alignment horizontal="center" vertical="center"/>
    </xf>
    <xf numFmtId="169" fontId="9" fillId="0" borderId="35" xfId="0" applyNumberFormat="1" applyFont="1" applyBorder="1" applyAlignment="1">
      <alignment horizontal="center" vertical="center"/>
    </xf>
    <xf numFmtId="169" fontId="9" fillId="0" borderId="36" xfId="0" applyNumberFormat="1" applyFont="1" applyBorder="1" applyAlignment="1">
      <alignment horizontal="center" vertical="center"/>
    </xf>
    <xf numFmtId="0" fontId="62" fillId="0" borderId="70" xfId="0" applyFont="1" applyBorder="1" applyAlignment="1">
      <alignment horizontal="center" vertical="center" wrapText="1"/>
    </xf>
    <xf numFmtId="0" fontId="62" fillId="0" borderId="76" xfId="0" applyFont="1" applyBorder="1" applyAlignment="1">
      <alignment horizontal="center" vertical="center" wrapText="1"/>
    </xf>
    <xf numFmtId="0" fontId="62" fillId="0" borderId="34" xfId="0" applyFont="1" applyBorder="1" applyAlignment="1">
      <alignment vertical="center" wrapText="1"/>
    </xf>
    <xf numFmtId="0" fontId="62" fillId="0" borderId="21" xfId="0" applyFont="1" applyBorder="1" applyAlignment="1">
      <alignment vertical="center" wrapText="1"/>
    </xf>
    <xf numFmtId="0" fontId="11" fillId="0" borderId="34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62" fillId="0" borderId="34" xfId="0" applyFont="1" applyBorder="1" applyAlignment="1">
      <alignment horizontal="left" vertical="center" wrapText="1"/>
    </xf>
    <xf numFmtId="0" fontId="62" fillId="0" borderId="21" xfId="0" applyFont="1" applyBorder="1" applyAlignment="1">
      <alignment horizontal="left" vertical="center" wrapText="1"/>
    </xf>
    <xf numFmtId="4" fontId="9" fillId="0" borderId="71" xfId="0" applyNumberFormat="1" applyFont="1" applyBorder="1" applyAlignment="1">
      <alignment horizontal="center" vertical="center" wrapText="1"/>
    </xf>
    <xf numFmtId="4" fontId="9" fillId="0" borderId="40" xfId="0" applyNumberFormat="1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center" wrapText="1"/>
    </xf>
    <xf numFmtId="0" fontId="62" fillId="0" borderId="34" xfId="0" applyFont="1" applyBorder="1" applyAlignment="1">
      <alignment horizontal="center" vertical="center" wrapText="1"/>
    </xf>
    <xf numFmtId="0" fontId="62" fillId="0" borderId="2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2" fillId="0" borderId="76" xfId="0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96" fillId="37" borderId="21" xfId="355" applyFont="1" applyFill="1" applyBorder="1" applyAlignment="1">
      <alignment horizontal="center"/>
    </xf>
    <xf numFmtId="0" fontId="96" fillId="37" borderId="36" xfId="355" applyFont="1" applyFill="1" applyBorder="1" applyAlignment="1">
      <alignment horizontal="center"/>
    </xf>
    <xf numFmtId="0" fontId="96" fillId="37" borderId="24" xfId="355" applyFont="1" applyFill="1" applyBorder="1" applyAlignment="1">
      <alignment horizontal="center"/>
    </xf>
    <xf numFmtId="0" fontId="96" fillId="37" borderId="25" xfId="355" applyFont="1" applyFill="1" applyBorder="1" applyAlignment="1">
      <alignment horizontal="center"/>
    </xf>
    <xf numFmtId="0" fontId="96" fillId="37" borderId="39" xfId="355" applyFont="1" applyFill="1" applyBorder="1" applyAlignment="1">
      <alignment horizontal="center"/>
    </xf>
    <xf numFmtId="0" fontId="96" fillId="37" borderId="46" xfId="355" applyFont="1" applyFill="1" applyBorder="1" applyAlignment="1">
      <alignment horizontal="center"/>
    </xf>
    <xf numFmtId="0" fontId="96" fillId="37" borderId="47" xfId="355" applyFont="1" applyFill="1" applyBorder="1" applyAlignment="1">
      <alignment horizontal="center"/>
    </xf>
    <xf numFmtId="0" fontId="96" fillId="37" borderId="44" xfId="355" applyFont="1" applyFill="1" applyBorder="1" applyAlignment="1">
      <alignment horizontal="center"/>
    </xf>
    <xf numFmtId="0" fontId="96" fillId="37" borderId="87" xfId="355" applyFont="1" applyFill="1" applyBorder="1" applyAlignment="1">
      <alignment horizontal="center"/>
    </xf>
    <xf numFmtId="0" fontId="96" fillId="37" borderId="45" xfId="355" applyFont="1" applyFill="1" applyBorder="1" applyAlignment="1">
      <alignment horizontal="center"/>
    </xf>
    <xf numFmtId="0" fontId="96" fillId="37" borderId="53" xfId="355" applyFont="1" applyFill="1" applyBorder="1" applyAlignment="1">
      <alignment horizontal="center" vertical="center"/>
    </xf>
    <xf numFmtId="0" fontId="96" fillId="37" borderId="54" xfId="355" applyFont="1" applyFill="1" applyBorder="1" applyAlignment="1">
      <alignment horizontal="center" vertical="center"/>
    </xf>
    <xf numFmtId="0" fontId="96" fillId="37" borderId="86" xfId="355" applyFont="1" applyFill="1" applyBorder="1" applyAlignment="1">
      <alignment horizontal="center" vertical="center"/>
    </xf>
    <xf numFmtId="0" fontId="11" fillId="39" borderId="81" xfId="355" applyFont="1" applyFill="1" applyBorder="1" applyAlignment="1">
      <alignment horizontal="center" vertical="center" wrapText="1"/>
    </xf>
    <xf numFmtId="0" fontId="11" fillId="39" borderId="33" xfId="355" applyFont="1" applyFill="1" applyBorder="1" applyAlignment="1">
      <alignment horizontal="center" vertical="center" wrapText="1"/>
    </xf>
    <xf numFmtId="0" fontId="11" fillId="39" borderId="43" xfId="355" applyFont="1" applyFill="1" applyBorder="1" applyAlignment="1">
      <alignment horizontal="center" vertical="center" wrapText="1"/>
    </xf>
    <xf numFmtId="0" fontId="11" fillId="39" borderId="80" xfId="355" applyFont="1" applyFill="1" applyBorder="1" applyAlignment="1">
      <alignment horizontal="center" vertical="center" wrapText="1"/>
    </xf>
    <xf numFmtId="0" fontId="11" fillId="39" borderId="52" xfId="355" applyFont="1" applyFill="1" applyBorder="1" applyAlignment="1">
      <alignment horizontal="center" vertical="center" wrapText="1"/>
    </xf>
    <xf numFmtId="0" fontId="11" fillId="39" borderId="82" xfId="355" applyFont="1" applyFill="1" applyBorder="1" applyAlignment="1">
      <alignment horizontal="center" vertical="center" wrapText="1"/>
    </xf>
    <xf numFmtId="0" fontId="11" fillId="39" borderId="81" xfId="355" applyFont="1" applyFill="1" applyBorder="1" applyAlignment="1">
      <alignment horizontal="center" vertical="center"/>
    </xf>
    <xf numFmtId="0" fontId="11" fillId="39" borderId="43" xfId="355" applyFont="1" applyFill="1" applyBorder="1" applyAlignment="1">
      <alignment horizontal="center" vertical="center"/>
    </xf>
    <xf numFmtId="0" fontId="11" fillId="39" borderId="56" xfId="355" applyFont="1" applyFill="1" applyBorder="1" applyAlignment="1">
      <alignment horizontal="center" vertical="center"/>
    </xf>
    <xf numFmtId="0" fontId="11" fillId="39" borderId="40" xfId="355" applyFont="1" applyFill="1" applyBorder="1" applyAlignment="1">
      <alignment horizontal="center" vertical="center"/>
    </xf>
    <xf numFmtId="0" fontId="95" fillId="0" borderId="83" xfId="355" applyFont="1" applyBorder="1" applyAlignment="1">
      <alignment horizontal="center"/>
    </xf>
    <xf numFmtId="0" fontId="95" fillId="0" borderId="84" xfId="355" applyFont="1" applyBorder="1" applyAlignment="1">
      <alignment horizontal="center"/>
    </xf>
    <xf numFmtId="0" fontId="95" fillId="0" borderId="85" xfId="355" applyFont="1" applyBorder="1" applyAlignment="1">
      <alignment horizontal="center"/>
    </xf>
    <xf numFmtId="49" fontId="11" fillId="33" borderId="77" xfId="498" applyNumberFormat="1" applyFont="1" applyFill="1" applyBorder="1" applyAlignment="1">
      <alignment horizontal="center" vertical="center"/>
    </xf>
    <xf numFmtId="49" fontId="11" fillId="33" borderId="78" xfId="498" applyNumberFormat="1" applyFont="1" applyFill="1" applyBorder="1" applyAlignment="1">
      <alignment horizontal="center" vertical="center"/>
    </xf>
    <xf numFmtId="49" fontId="11" fillId="33" borderId="79" xfId="498" applyNumberFormat="1" applyFont="1" applyFill="1" applyBorder="1" applyAlignment="1">
      <alignment horizontal="center" vertical="center"/>
    </xf>
    <xf numFmtId="0" fontId="11" fillId="39" borderId="51" xfId="355" applyFont="1" applyFill="1" applyBorder="1" applyAlignment="1">
      <alignment horizontal="center" vertical="center"/>
    </xf>
    <xf numFmtId="0" fontId="11" fillId="39" borderId="34" xfId="355" applyFont="1" applyFill="1" applyBorder="1" applyAlignment="1">
      <alignment horizontal="center" vertical="center"/>
    </xf>
    <xf numFmtId="0" fontId="11" fillId="39" borderId="21" xfId="355" applyFont="1" applyFill="1" applyBorder="1" applyAlignment="1">
      <alignment horizontal="center" vertical="center"/>
    </xf>
    <xf numFmtId="0" fontId="11" fillId="39" borderId="80" xfId="355" applyFont="1" applyFill="1" applyBorder="1" applyAlignment="1">
      <alignment horizontal="center" vertical="center"/>
    </xf>
    <xf numFmtId="0" fontId="11" fillId="39" borderId="52" xfId="355" applyFont="1" applyFill="1" applyBorder="1" applyAlignment="1">
      <alignment horizontal="center" vertical="center"/>
    </xf>
    <xf numFmtId="0" fontId="11" fillId="39" borderId="33" xfId="355" applyFont="1" applyFill="1" applyBorder="1" applyAlignment="1">
      <alignment horizontal="center" vertical="center"/>
    </xf>
    <xf numFmtId="0" fontId="96" fillId="37" borderId="22" xfId="355" applyFont="1" applyFill="1" applyBorder="1" applyAlignment="1">
      <alignment horizontal="center"/>
    </xf>
    <xf numFmtId="0" fontId="96" fillId="37" borderId="0" xfId="355" applyFont="1" applyFill="1" applyAlignment="1">
      <alignment horizontal="center"/>
    </xf>
    <xf numFmtId="0" fontId="96" fillId="37" borderId="27" xfId="355" applyFont="1" applyFill="1" applyBorder="1" applyAlignment="1">
      <alignment horizontal="center"/>
    </xf>
    <xf numFmtId="0" fontId="95" fillId="37" borderId="77" xfId="355" applyFont="1" applyFill="1" applyBorder="1" applyAlignment="1">
      <alignment horizontal="center"/>
    </xf>
    <xf numFmtId="0" fontId="95" fillId="37" borderId="78" xfId="355" applyFont="1" applyFill="1" applyBorder="1" applyAlignment="1">
      <alignment horizontal="center"/>
    </xf>
    <xf numFmtId="0" fontId="95" fillId="37" borderId="79" xfId="355" applyFont="1" applyFill="1" applyBorder="1" applyAlignment="1">
      <alignment horizontal="center"/>
    </xf>
    <xf numFmtId="0" fontId="96" fillId="37" borderId="23" xfId="355" applyFont="1" applyFill="1" applyBorder="1" applyAlignment="1">
      <alignment horizontal="center"/>
    </xf>
    <xf numFmtId="0" fontId="96" fillId="37" borderId="28" xfId="355" applyFont="1" applyFill="1" applyBorder="1" applyAlignment="1">
      <alignment horizontal="center"/>
    </xf>
    <xf numFmtId="0" fontId="96" fillId="37" borderId="29" xfId="355" applyFont="1" applyFill="1" applyBorder="1" applyAlignment="1">
      <alignment horizontal="center"/>
    </xf>
    <xf numFmtId="0" fontId="96" fillId="37" borderId="30" xfId="355" applyFont="1" applyFill="1" applyBorder="1" applyAlignment="1">
      <alignment horizontal="center"/>
    </xf>
    <xf numFmtId="0" fontId="96" fillId="37" borderId="31" xfId="355" applyFont="1" applyFill="1" applyBorder="1" applyAlignment="1">
      <alignment horizontal="center"/>
    </xf>
    <xf numFmtId="0" fontId="96" fillId="37" borderId="32" xfId="355" applyFont="1" applyFill="1" applyBorder="1" applyAlignment="1">
      <alignment horizontal="center"/>
    </xf>
    <xf numFmtId="0" fontId="95" fillId="0" borderId="34" xfId="355" applyFont="1" applyBorder="1" applyAlignment="1">
      <alignment horizontal="center"/>
    </xf>
    <xf numFmtId="0" fontId="95" fillId="0" borderId="21" xfId="355" applyFont="1" applyBorder="1" applyAlignment="1">
      <alignment horizontal="center"/>
    </xf>
    <xf numFmtId="49" fontId="11" fillId="33" borderId="34" xfId="498" applyNumberFormat="1" applyFont="1" applyFill="1" applyBorder="1" applyAlignment="1">
      <alignment horizontal="center" vertical="center"/>
    </xf>
    <xf numFmtId="49" fontId="11" fillId="33" borderId="21" xfId="498" applyNumberFormat="1" applyFont="1" applyFill="1" applyBorder="1" applyAlignment="1">
      <alignment horizontal="center" vertical="center"/>
    </xf>
    <xf numFmtId="49" fontId="11" fillId="33" borderId="36" xfId="498" applyNumberFormat="1" applyFont="1" applyFill="1" applyBorder="1" applyAlignment="1">
      <alignment horizontal="center" vertical="center"/>
    </xf>
    <xf numFmtId="0" fontId="11" fillId="39" borderId="21" xfId="355" applyFont="1" applyFill="1" applyBorder="1" applyAlignment="1">
      <alignment horizontal="center" vertical="center" wrapText="1"/>
    </xf>
    <xf numFmtId="0" fontId="0" fillId="0" borderId="114" xfId="0" applyBorder="1" applyAlignment="1">
      <alignment horizontal="left" vertical="center" wrapText="1"/>
    </xf>
    <xf numFmtId="0" fontId="0" fillId="0" borderId="115" xfId="0" applyBorder="1" applyAlignment="1">
      <alignment horizontal="left" vertical="center" wrapText="1"/>
    </xf>
    <xf numFmtId="0" fontId="0" fillId="0" borderId="116" xfId="0" applyBorder="1" applyAlignment="1">
      <alignment horizontal="left" vertical="center" wrapText="1"/>
    </xf>
    <xf numFmtId="0" fontId="0" fillId="0" borderId="117" xfId="0" applyBorder="1" applyAlignment="1">
      <alignment horizontal="center" vertical="top" wrapText="1"/>
    </xf>
    <xf numFmtId="0" fontId="0" fillId="0" borderId="118" xfId="0" applyBorder="1" applyAlignment="1">
      <alignment horizontal="center" vertical="top" wrapText="1"/>
    </xf>
    <xf numFmtId="0" fontId="0" fillId="0" borderId="119" xfId="0" applyBorder="1" applyAlignment="1">
      <alignment horizontal="center" vertical="top" wrapText="1"/>
    </xf>
    <xf numFmtId="0" fontId="70" fillId="0" borderId="117" xfId="0" applyFont="1" applyBorder="1" applyAlignment="1">
      <alignment horizontal="center" vertical="center" wrapText="1"/>
    </xf>
    <xf numFmtId="0" fontId="70" fillId="0" borderId="118" xfId="0" applyFont="1" applyBorder="1" applyAlignment="1">
      <alignment horizontal="center" vertical="center" wrapText="1"/>
    </xf>
    <xf numFmtId="0" fontId="0" fillId="0" borderId="118" xfId="0" applyBorder="1" applyAlignment="1">
      <alignment horizontal="center" vertical="center" wrapText="1"/>
    </xf>
    <xf numFmtId="0" fontId="0" fillId="0" borderId="119" xfId="0" applyBorder="1" applyAlignment="1">
      <alignment horizontal="center" vertical="center" wrapText="1"/>
    </xf>
    <xf numFmtId="0" fontId="71" fillId="0" borderId="112" xfId="0" applyFont="1" applyBorder="1" applyAlignment="1">
      <alignment horizontal="center" vertical="top" wrapText="1"/>
    </xf>
    <xf numFmtId="0" fontId="71" fillId="0" borderId="109" xfId="0" applyFont="1" applyBorder="1" applyAlignment="1">
      <alignment horizontal="center" vertical="top" wrapText="1"/>
    </xf>
    <xf numFmtId="0" fontId="71" fillId="0" borderId="113" xfId="0" applyFont="1" applyBorder="1" applyAlignment="1">
      <alignment horizontal="center" vertical="top" wrapText="1"/>
    </xf>
    <xf numFmtId="0" fontId="71" fillId="0" borderId="112" xfId="0" applyFont="1" applyBorder="1" applyAlignment="1">
      <alignment horizontal="center" vertical="center" wrapText="1"/>
    </xf>
    <xf numFmtId="0" fontId="71" fillId="0" borderId="109" xfId="0" applyFont="1" applyBorder="1" applyAlignment="1">
      <alignment horizontal="center" vertical="center" wrapText="1"/>
    </xf>
    <xf numFmtId="0" fontId="71" fillId="0" borderId="113" xfId="0" applyFont="1" applyBorder="1" applyAlignment="1">
      <alignment horizontal="center" vertical="center" wrapText="1"/>
    </xf>
    <xf numFmtId="0" fontId="71" fillId="40" borderId="112" xfId="0" applyFont="1" applyFill="1" applyBorder="1" applyAlignment="1">
      <alignment horizontal="center" vertical="top" wrapText="1"/>
    </xf>
    <xf numFmtId="0" fontId="71" fillId="40" borderId="109" xfId="0" applyFont="1" applyFill="1" applyBorder="1" applyAlignment="1">
      <alignment horizontal="center" vertical="top" wrapText="1"/>
    </xf>
    <xf numFmtId="0" fontId="71" fillId="40" borderId="113" xfId="0" applyFont="1" applyFill="1" applyBorder="1" applyAlignment="1">
      <alignment horizontal="center" vertical="top" wrapText="1"/>
    </xf>
    <xf numFmtId="0" fontId="100" fillId="40" borderId="112" xfId="0" applyFont="1" applyFill="1" applyBorder="1" applyAlignment="1">
      <alignment horizontal="center" vertical="center" wrapText="1"/>
    </xf>
    <xf numFmtId="0" fontId="100" fillId="40" borderId="109" xfId="0" applyFont="1" applyFill="1" applyBorder="1" applyAlignment="1">
      <alignment horizontal="center" vertical="center" wrapText="1"/>
    </xf>
    <xf numFmtId="0" fontId="71" fillId="40" borderId="109" xfId="0" applyFont="1" applyFill="1" applyBorder="1" applyAlignment="1">
      <alignment horizontal="center" vertical="center" wrapText="1"/>
    </xf>
    <xf numFmtId="0" fontId="71" fillId="40" borderId="113" xfId="0" applyFont="1" applyFill="1" applyBorder="1" applyAlignment="1">
      <alignment horizontal="center" vertical="center" wrapText="1"/>
    </xf>
    <xf numFmtId="0" fontId="99" fillId="40" borderId="112" xfId="0" applyFont="1" applyFill="1" applyBorder="1" applyAlignment="1">
      <alignment horizontal="center" vertical="top" wrapText="1"/>
    </xf>
    <xf numFmtId="0" fontId="76" fillId="40" borderId="109" xfId="0" applyFont="1" applyFill="1" applyBorder="1" applyAlignment="1">
      <alignment horizontal="center" vertical="top" wrapText="1"/>
    </xf>
    <xf numFmtId="0" fontId="76" fillId="40" borderId="113" xfId="0" applyFont="1" applyFill="1" applyBorder="1" applyAlignment="1">
      <alignment horizontal="center" vertical="top" wrapText="1"/>
    </xf>
    <xf numFmtId="0" fontId="7" fillId="0" borderId="48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7" fillId="0" borderId="91" xfId="0" applyFont="1" applyBorder="1" applyAlignment="1">
      <alignment horizontal="left" vertical="center" indent="1"/>
    </xf>
    <xf numFmtId="0" fontId="7" fillId="0" borderId="74" xfId="0" applyFont="1" applyBorder="1" applyAlignment="1">
      <alignment horizontal="left" vertical="center" indent="1"/>
    </xf>
    <xf numFmtId="0" fontId="7" fillId="0" borderId="90" xfId="0" applyFont="1" applyBorder="1" applyAlignment="1">
      <alignment horizontal="left" vertical="center" indent="1"/>
    </xf>
    <xf numFmtId="0" fontId="7" fillId="0" borderId="75" xfId="0" applyFont="1" applyBorder="1" applyAlignment="1">
      <alignment horizontal="left" vertical="center" indent="1"/>
    </xf>
    <xf numFmtId="39" fontId="7" fillId="0" borderId="42" xfId="785" applyNumberFormat="1" applyFont="1" applyBorder="1" applyAlignment="1">
      <alignment horizontal="center" vertical="center"/>
    </xf>
    <xf numFmtId="39" fontId="7" fillId="0" borderId="33" xfId="785" applyNumberFormat="1" applyFont="1" applyBorder="1" applyAlignment="1">
      <alignment horizontal="center" vertical="center"/>
    </xf>
    <xf numFmtId="39" fontId="7" fillId="0" borderId="43" xfId="785" applyNumberFormat="1" applyFont="1" applyBorder="1" applyAlignment="1">
      <alignment horizontal="center" vertical="center"/>
    </xf>
    <xf numFmtId="4" fontId="7" fillId="0" borderId="24" xfId="0" applyNumberFormat="1" applyFont="1" applyFill="1" applyBorder="1" applyAlignment="1">
      <alignment horizontal="center" vertical="center"/>
    </xf>
    <xf numFmtId="4" fontId="7" fillId="0" borderId="25" xfId="0" applyNumberFormat="1" applyFont="1" applyFill="1" applyBorder="1" applyAlignment="1">
      <alignment horizontal="center" vertical="center"/>
    </xf>
    <xf numFmtId="4" fontId="7" fillId="0" borderId="26" xfId="0" applyNumberFormat="1" applyFont="1" applyFill="1" applyBorder="1" applyAlignment="1">
      <alignment horizontal="center" vertical="center"/>
    </xf>
    <xf numFmtId="0" fontId="7" fillId="34" borderId="24" xfId="0" applyFont="1" applyFill="1" applyBorder="1" applyAlignment="1">
      <alignment horizontal="center" vertical="center"/>
    </xf>
    <xf numFmtId="0" fontId="7" fillId="34" borderId="25" xfId="0" applyFont="1" applyFill="1" applyBorder="1" applyAlignment="1">
      <alignment horizontal="center" vertical="center"/>
    </xf>
    <xf numFmtId="0" fontId="7" fillId="34" borderId="26" xfId="0" applyFont="1" applyFill="1" applyBorder="1" applyAlignment="1">
      <alignment horizontal="center" vertical="center"/>
    </xf>
    <xf numFmtId="178" fontId="7" fillId="0" borderId="24" xfId="0" applyNumberFormat="1" applyFont="1" applyBorder="1" applyAlignment="1">
      <alignment horizontal="center" vertical="center"/>
    </xf>
    <xf numFmtId="178" fontId="7" fillId="0" borderId="25" xfId="0" applyNumberFormat="1" applyFont="1" applyBorder="1" applyAlignment="1">
      <alignment horizontal="center" vertical="center"/>
    </xf>
    <xf numFmtId="178" fontId="7" fillId="0" borderId="26" xfId="0" applyNumberFormat="1" applyFont="1" applyBorder="1" applyAlignment="1">
      <alignment horizontal="center" vertical="center"/>
    </xf>
    <xf numFmtId="4" fontId="7" fillId="0" borderId="91" xfId="0" applyNumberFormat="1" applyFont="1" applyFill="1" applyBorder="1" applyAlignment="1">
      <alignment horizontal="center" vertical="center"/>
    </xf>
    <xf numFmtId="4" fontId="7" fillId="0" borderId="88" xfId="0" applyNumberFormat="1" applyFont="1" applyFill="1" applyBorder="1" applyAlignment="1">
      <alignment horizontal="center" vertical="center"/>
    </xf>
    <xf numFmtId="4" fontId="7" fillId="0" borderId="74" xfId="0" applyNumberFormat="1" applyFont="1" applyFill="1" applyBorder="1" applyAlignment="1">
      <alignment horizontal="center" vertical="center"/>
    </xf>
    <xf numFmtId="178" fontId="7" fillId="0" borderId="93" xfId="0" applyNumberFormat="1" applyFont="1" applyBorder="1" applyAlignment="1">
      <alignment horizontal="center" vertical="center"/>
    </xf>
    <xf numFmtId="178" fontId="7" fillId="0" borderId="94" xfId="0" applyNumberFormat="1" applyFont="1" applyBorder="1" applyAlignment="1">
      <alignment horizontal="center" vertical="center"/>
    </xf>
    <xf numFmtId="178" fontId="7" fillId="0" borderId="50" xfId="0" applyNumberFormat="1" applyFont="1" applyBorder="1" applyAlignment="1">
      <alignment horizontal="center" vertical="center"/>
    </xf>
    <xf numFmtId="2" fontId="7" fillId="0" borderId="42" xfId="0" applyNumberFormat="1" applyFont="1" applyBorder="1" applyAlignment="1">
      <alignment horizontal="center" vertical="center"/>
    </xf>
    <xf numFmtId="2" fontId="7" fillId="0" borderId="33" xfId="0" applyNumberFormat="1" applyFont="1" applyBorder="1" applyAlignment="1">
      <alignment horizontal="center" vertical="center"/>
    </xf>
    <xf numFmtId="2" fontId="7" fillId="0" borderId="43" xfId="0" applyNumberFormat="1" applyFont="1" applyBorder="1" applyAlignment="1">
      <alignment horizontal="center" vertical="center"/>
    </xf>
    <xf numFmtId="4" fontId="7" fillId="0" borderId="24" xfId="580" applyNumberFormat="1" applyFont="1" applyBorder="1" applyAlignment="1">
      <alignment horizontal="center" vertical="center"/>
    </xf>
    <xf numFmtId="4" fontId="7" fillId="0" borderId="25" xfId="580" applyNumberFormat="1" applyFont="1" applyBorder="1" applyAlignment="1">
      <alignment horizontal="center" vertical="center"/>
    </xf>
    <xf numFmtId="4" fontId="7" fillId="0" borderId="26" xfId="580" applyNumberFormat="1" applyFont="1" applyBorder="1" applyAlignment="1">
      <alignment horizontal="center" vertical="center"/>
    </xf>
    <xf numFmtId="0" fontId="63" fillId="0" borderId="96" xfId="0" applyFont="1" applyBorder="1" applyAlignment="1">
      <alignment horizontal="center" vertical="center"/>
    </xf>
    <xf numFmtId="0" fontId="63" fillId="0" borderId="31" xfId="0" applyFont="1" applyBorder="1" applyAlignment="1">
      <alignment horizontal="center" vertical="center"/>
    </xf>
    <xf numFmtId="0" fontId="63" fillId="0" borderId="90" xfId="0" applyFont="1" applyBorder="1" applyAlignment="1">
      <alignment horizontal="center" vertical="center"/>
    </xf>
    <xf numFmtId="0" fontId="63" fillId="0" borderId="0" xfId="0" applyFont="1" applyBorder="1" applyAlignment="1">
      <alignment horizontal="center" vertical="center"/>
    </xf>
    <xf numFmtId="0" fontId="63" fillId="0" borderId="93" xfId="0" applyFont="1" applyBorder="1" applyAlignment="1">
      <alignment horizontal="center" vertical="center"/>
    </xf>
    <xf numFmtId="0" fontId="63" fillId="0" borderId="94" xfId="0" applyFont="1" applyBorder="1" applyAlignment="1">
      <alignment horizontal="center" vertical="center"/>
    </xf>
    <xf numFmtId="0" fontId="63" fillId="0" borderId="37" xfId="0" applyFont="1" applyBorder="1" applyAlignment="1">
      <alignment horizontal="center" vertical="center"/>
    </xf>
    <xf numFmtId="0" fontId="63" fillId="0" borderId="25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3" fillId="0" borderId="30" xfId="0" applyFont="1" applyBorder="1" applyAlignment="1">
      <alignment horizontal="center" vertical="center" wrapText="1"/>
    </xf>
    <xf numFmtId="0" fontId="63" fillId="0" borderId="31" xfId="0" applyFont="1" applyBorder="1" applyAlignment="1">
      <alignment horizontal="center" vertical="center" wrapText="1"/>
    </xf>
    <xf numFmtId="0" fontId="63" fillId="0" borderId="95" xfId="0" applyFont="1" applyBorder="1" applyAlignment="1">
      <alignment horizontal="center" vertical="center" wrapText="1"/>
    </xf>
    <xf numFmtId="0" fontId="63" fillId="0" borderId="22" xfId="0" applyFont="1" applyBorder="1" applyAlignment="1">
      <alignment horizontal="center" vertical="center" wrapText="1"/>
    </xf>
    <xf numFmtId="0" fontId="63" fillId="0" borderId="0" xfId="0" applyFont="1" applyBorder="1" applyAlignment="1">
      <alignment horizontal="center" vertical="center" wrapText="1"/>
    </xf>
    <xf numFmtId="0" fontId="63" fillId="0" borderId="75" xfId="0" applyFont="1" applyBorder="1" applyAlignment="1">
      <alignment horizontal="center" vertical="center" wrapText="1"/>
    </xf>
    <xf numFmtId="0" fontId="63" fillId="0" borderId="41" xfId="0" applyFont="1" applyBorder="1" applyAlignment="1">
      <alignment horizontal="center" vertical="center" wrapText="1"/>
    </xf>
    <xf numFmtId="0" fontId="63" fillId="0" borderId="94" xfId="0" applyFont="1" applyBorder="1" applyAlignment="1">
      <alignment horizontal="center" vertical="center" wrapText="1"/>
    </xf>
    <xf numFmtId="0" fontId="63" fillId="0" borderId="50" xfId="0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wrapText="1"/>
    </xf>
    <xf numFmtId="0" fontId="8" fillId="0" borderId="88" xfId="0" applyFont="1" applyBorder="1" applyAlignment="1">
      <alignment horizontal="center" wrapText="1"/>
    </xf>
    <xf numFmtId="0" fontId="8" fillId="0" borderId="74" xfId="0" applyFont="1" applyBorder="1" applyAlignment="1">
      <alignment horizontal="center" wrapText="1"/>
    </xf>
    <xf numFmtId="0" fontId="6" fillId="0" borderId="24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4" fontId="7" fillId="0" borderId="24" xfId="0" applyNumberFormat="1" applyFont="1" applyBorder="1" applyAlignment="1">
      <alignment horizontal="center" vertical="center"/>
    </xf>
    <xf numFmtId="4" fontId="7" fillId="0" borderId="25" xfId="0" applyNumberFormat="1" applyFont="1" applyBorder="1" applyAlignment="1">
      <alignment horizontal="center" vertical="center"/>
    </xf>
    <xf numFmtId="4" fontId="7" fillId="0" borderId="26" xfId="0" applyNumberFormat="1" applyFont="1" applyBorder="1" applyAlignment="1">
      <alignment horizontal="center" vertical="center"/>
    </xf>
    <xf numFmtId="0" fontId="7" fillId="0" borderId="91" xfId="0" applyFont="1" applyBorder="1" applyAlignment="1">
      <alignment horizontal="left" vertical="center" wrapText="1" indent="1"/>
    </xf>
    <xf numFmtId="0" fontId="7" fillId="0" borderId="74" xfId="0" applyFont="1" applyBorder="1" applyAlignment="1">
      <alignment horizontal="left" vertical="center" wrapText="1" indent="1"/>
    </xf>
    <xf numFmtId="0" fontId="7" fillId="0" borderId="90" xfId="0" applyFont="1" applyBorder="1" applyAlignment="1">
      <alignment horizontal="left" vertical="center" wrapText="1" indent="1"/>
    </xf>
    <xf numFmtId="0" fontId="7" fillId="0" borderId="75" xfId="0" applyFont="1" applyBorder="1" applyAlignment="1">
      <alignment horizontal="left" vertical="center" wrapText="1" indent="1"/>
    </xf>
    <xf numFmtId="0" fontId="7" fillId="0" borderId="93" xfId="0" applyFont="1" applyBorder="1" applyAlignment="1">
      <alignment horizontal="left" vertical="center" wrapText="1" indent="1"/>
    </xf>
    <xf numFmtId="0" fontId="7" fillId="0" borderId="50" xfId="0" applyFont="1" applyBorder="1" applyAlignment="1">
      <alignment horizontal="left" vertical="center" wrapText="1" indent="1"/>
    </xf>
    <xf numFmtId="179" fontId="7" fillId="0" borderId="24" xfId="0" applyNumberFormat="1" applyFont="1" applyBorder="1" applyAlignment="1">
      <alignment horizontal="center" vertical="center"/>
    </xf>
    <xf numFmtId="179" fontId="7" fillId="0" borderId="25" xfId="0" applyNumberFormat="1" applyFont="1" applyBorder="1" applyAlignment="1">
      <alignment horizontal="center" vertical="center"/>
    </xf>
    <xf numFmtId="179" fontId="7" fillId="0" borderId="26" xfId="0" applyNumberFormat="1" applyFont="1" applyBorder="1" applyAlignment="1">
      <alignment horizontal="center" vertical="center"/>
    </xf>
    <xf numFmtId="9" fontId="7" fillId="0" borderId="24" xfId="0" applyNumberFormat="1" applyFont="1" applyBorder="1" applyAlignment="1">
      <alignment horizontal="center" vertical="center"/>
    </xf>
    <xf numFmtId="9" fontId="7" fillId="0" borderId="25" xfId="0" applyNumberFormat="1" applyFont="1" applyBorder="1" applyAlignment="1">
      <alignment horizontal="center" vertical="center"/>
    </xf>
    <xf numFmtId="9" fontId="7" fillId="0" borderId="26" xfId="0" applyNumberFormat="1" applyFont="1" applyBorder="1" applyAlignment="1">
      <alignment horizontal="center" vertical="center"/>
    </xf>
    <xf numFmtId="179" fontId="7" fillId="0" borderId="24" xfId="0" applyNumberFormat="1" applyFont="1" applyFill="1" applyBorder="1" applyAlignment="1">
      <alignment horizontal="center" vertical="center"/>
    </xf>
    <xf numFmtId="179" fontId="7" fillId="0" borderId="25" xfId="0" applyNumberFormat="1" applyFont="1" applyFill="1" applyBorder="1" applyAlignment="1">
      <alignment horizontal="center" vertical="center"/>
    </xf>
    <xf numFmtId="179" fontId="7" fillId="0" borderId="26" xfId="0" applyNumberFormat="1" applyFont="1" applyFill="1" applyBorder="1" applyAlignment="1">
      <alignment horizontal="center" vertical="center"/>
    </xf>
    <xf numFmtId="165" fontId="7" fillId="0" borderId="24" xfId="785" applyFont="1" applyBorder="1" applyAlignment="1">
      <alignment vertical="center"/>
    </xf>
    <xf numFmtId="165" fontId="7" fillId="0" borderId="25" xfId="785" applyFont="1" applyBorder="1" applyAlignment="1">
      <alignment vertical="center"/>
    </xf>
    <xf numFmtId="165" fontId="7" fillId="0" borderId="26" xfId="785" applyFont="1" applyBorder="1" applyAlignment="1">
      <alignment vertical="center"/>
    </xf>
    <xf numFmtId="9" fontId="7" fillId="0" borderId="24" xfId="0" applyNumberFormat="1" applyFont="1" applyBorder="1" applyAlignment="1">
      <alignment horizontal="left" vertical="center" indent="2"/>
    </xf>
    <xf numFmtId="9" fontId="7" fillId="0" borderId="26" xfId="0" applyNumberFormat="1" applyFont="1" applyBorder="1" applyAlignment="1">
      <alignment horizontal="left" vertical="center" indent="2"/>
    </xf>
    <xf numFmtId="10" fontId="7" fillId="0" borderId="24" xfId="0" applyNumberFormat="1" applyFont="1" applyBorder="1" applyAlignment="1">
      <alignment horizontal="center" vertical="center"/>
    </xf>
    <xf numFmtId="10" fontId="7" fillId="0" borderId="25" xfId="0" applyNumberFormat="1" applyFont="1" applyBorder="1" applyAlignment="1">
      <alignment horizontal="center" vertical="center"/>
    </xf>
    <xf numFmtId="10" fontId="7" fillId="0" borderId="26" xfId="0" applyNumberFormat="1" applyFont="1" applyBorder="1" applyAlignment="1">
      <alignment horizontal="center" vertical="center"/>
    </xf>
    <xf numFmtId="9" fontId="7" fillId="0" borderId="92" xfId="0" applyNumberFormat="1" applyFont="1" applyBorder="1" applyAlignment="1">
      <alignment horizontal="left" vertical="center" indent="2"/>
    </xf>
    <xf numFmtId="9" fontId="7" fillId="0" borderId="89" xfId="0" applyNumberFormat="1" applyFont="1" applyBorder="1" applyAlignment="1">
      <alignment horizontal="left" vertical="center" indent="2"/>
    </xf>
    <xf numFmtId="165" fontId="7" fillId="0" borderId="44" xfId="785" applyFont="1" applyBorder="1" applyAlignment="1">
      <alignment vertical="center"/>
    </xf>
    <xf numFmtId="165" fontId="7" fillId="0" borderId="87" xfId="785" applyFont="1" applyBorder="1" applyAlignment="1">
      <alignment vertical="center"/>
    </xf>
    <xf numFmtId="165" fontId="7" fillId="0" borderId="49" xfId="785" applyFont="1" applyBorder="1" applyAlignment="1">
      <alignment vertical="center"/>
    </xf>
    <xf numFmtId="0" fontId="7" fillId="0" borderId="21" xfId="0" applyFont="1" applyBorder="1" applyAlignment="1">
      <alignment horizontal="left" vertical="center" indent="1"/>
    </xf>
    <xf numFmtId="2" fontId="7" fillId="0" borderId="21" xfId="0" applyNumberFormat="1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7" fillId="0" borderId="88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3" fontId="2" fillId="0" borderId="46" xfId="0" quotePrefix="1" applyNumberFormat="1" applyFont="1" applyBorder="1" applyAlignment="1">
      <alignment horizontal="center" vertical="center"/>
    </xf>
    <xf numFmtId="0" fontId="65" fillId="0" borderId="21" xfId="0" applyFont="1" applyBorder="1" applyAlignment="1">
      <alignment horizontal="center" vertical="center" wrapText="1"/>
    </xf>
    <xf numFmtId="3" fontId="64" fillId="0" borderId="21" xfId="0" applyNumberFormat="1" applyFont="1" applyBorder="1" applyAlignment="1">
      <alignment horizontal="center" vertical="center" wrapText="1"/>
    </xf>
    <xf numFmtId="3" fontId="64" fillId="0" borderId="21" xfId="0" applyNumberFormat="1" applyFont="1" applyBorder="1" applyAlignment="1">
      <alignment horizontal="center" vertical="center"/>
    </xf>
    <xf numFmtId="3" fontId="5" fillId="37" borderId="70" xfId="0" applyNumberFormat="1" applyFont="1" applyFill="1" applyBorder="1" applyAlignment="1">
      <alignment horizontal="left"/>
    </xf>
    <xf numFmtId="3" fontId="5" fillId="37" borderId="76" xfId="0" applyNumberFormat="1" applyFont="1" applyFill="1" applyBorder="1" applyAlignment="1">
      <alignment horizontal="left"/>
    </xf>
    <xf numFmtId="3" fontId="5" fillId="37" borderId="35" xfId="0" applyNumberFormat="1" applyFont="1" applyFill="1" applyBorder="1" applyAlignment="1">
      <alignment horizontal="left"/>
    </xf>
    <xf numFmtId="3" fontId="61" fillId="37" borderId="34" xfId="0" applyNumberFormat="1" applyFont="1" applyFill="1" applyBorder="1" applyAlignment="1">
      <alignment horizontal="left" vertical="center"/>
    </xf>
    <xf numFmtId="3" fontId="61" fillId="37" borderId="21" xfId="0" applyNumberFormat="1" applyFont="1" applyFill="1" applyBorder="1" applyAlignment="1">
      <alignment horizontal="left" vertical="center"/>
    </xf>
    <xf numFmtId="3" fontId="61" fillId="37" borderId="36" xfId="0" applyNumberFormat="1" applyFont="1" applyFill="1" applyBorder="1" applyAlignment="1">
      <alignment horizontal="left" vertical="center"/>
    </xf>
    <xf numFmtId="3" fontId="5" fillId="37" borderId="34" xfId="0" applyNumberFormat="1" applyFont="1" applyFill="1" applyBorder="1" applyAlignment="1">
      <alignment horizontal="left" vertical="center" wrapText="1"/>
    </xf>
    <xf numFmtId="3" fontId="5" fillId="37" borderId="21" xfId="0" applyNumberFormat="1" applyFont="1" applyFill="1" applyBorder="1" applyAlignment="1">
      <alignment horizontal="left" vertical="center" wrapText="1"/>
    </xf>
    <xf numFmtId="3" fontId="5" fillId="37" borderId="36" xfId="0" applyNumberFormat="1" applyFont="1" applyFill="1" applyBorder="1" applyAlignment="1">
      <alignment horizontal="left" vertical="center" wrapText="1"/>
    </xf>
    <xf numFmtId="3" fontId="61" fillId="0" borderId="34" xfId="0" applyNumberFormat="1" applyFont="1" applyBorder="1" applyAlignment="1">
      <alignment horizontal="center" vertical="center"/>
    </xf>
    <xf numFmtId="3" fontId="61" fillId="0" borderId="21" xfId="0" applyNumberFormat="1" applyFont="1" applyBorder="1" applyAlignment="1">
      <alignment horizontal="center" vertical="center"/>
    </xf>
    <xf numFmtId="3" fontId="61" fillId="0" borderId="36" xfId="0" applyNumberFormat="1" applyFont="1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3" fontId="1" fillId="0" borderId="21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3" fontId="4" fillId="0" borderId="34" xfId="0" applyNumberFormat="1" applyFont="1" applyBorder="1" applyAlignment="1">
      <alignment horizontal="center" vertical="center" wrapText="1"/>
    </xf>
    <xf numFmtId="3" fontId="61" fillId="0" borderId="70" xfId="0" applyNumberFormat="1" applyFont="1" applyBorder="1" applyAlignment="1">
      <alignment horizontal="center" vertical="center"/>
    </xf>
    <xf numFmtId="3" fontId="61" fillId="0" borderId="76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3" fontId="2" fillId="0" borderId="21" xfId="0" quotePrefix="1" applyNumberFormat="1" applyFont="1" applyBorder="1" applyAlignment="1">
      <alignment horizontal="center" vertical="center"/>
    </xf>
    <xf numFmtId="3" fontId="2" fillId="0" borderId="38" xfId="0" applyNumberFormat="1" applyFont="1" applyBorder="1" applyAlignment="1">
      <alignment horizontal="center"/>
    </xf>
    <xf numFmtId="3" fontId="2" fillId="0" borderId="46" xfId="0" applyNumberFormat="1" applyFont="1" applyBorder="1" applyAlignment="1">
      <alignment horizontal="center"/>
    </xf>
    <xf numFmtId="3" fontId="2" fillId="0" borderId="47" xfId="0" applyNumberFormat="1" applyFont="1" applyBorder="1" applyAlignment="1">
      <alignment horizontal="center"/>
    </xf>
    <xf numFmtId="0" fontId="3" fillId="37" borderId="24" xfId="0" applyFont="1" applyFill="1" applyBorder="1" applyAlignment="1">
      <alignment horizontal="left" wrapText="1"/>
    </xf>
    <xf numFmtId="0" fontId="3" fillId="37" borderId="25" xfId="0" applyFont="1" applyFill="1" applyBorder="1" applyAlignment="1">
      <alignment horizontal="left" wrapText="1"/>
    </xf>
    <xf numFmtId="0" fontId="3" fillId="37" borderId="26" xfId="0" applyFont="1" applyFill="1" applyBorder="1" applyAlignment="1">
      <alignment horizontal="left" wrapText="1"/>
    </xf>
    <xf numFmtId="165" fontId="6" fillId="37" borderId="21" xfId="785" applyFont="1" applyFill="1" applyBorder="1" applyAlignment="1">
      <alignment horizontal="center" vertical="center" wrapText="1"/>
    </xf>
    <xf numFmtId="0" fontId="0" fillId="37" borderId="33" xfId="0" applyFill="1" applyBorder="1" applyAlignment="1">
      <alignment horizontal="center"/>
    </xf>
    <xf numFmtId="0" fontId="0" fillId="37" borderId="43" xfId="0" applyFill="1" applyBorder="1" applyAlignment="1">
      <alignment horizontal="center"/>
    </xf>
    <xf numFmtId="0" fontId="3" fillId="37" borderId="24" xfId="0" applyFont="1" applyFill="1" applyBorder="1" applyAlignment="1">
      <alignment horizontal="left"/>
    </xf>
    <xf numFmtId="0" fontId="3" fillId="37" borderId="25" xfId="0" applyFont="1" applyFill="1" applyBorder="1" applyAlignment="1">
      <alignment horizontal="left"/>
    </xf>
    <xf numFmtId="0" fontId="3" fillId="37" borderId="26" xfId="0" applyFont="1" applyFill="1" applyBorder="1" applyAlignment="1">
      <alignment horizontal="left"/>
    </xf>
    <xf numFmtId="0" fontId="60" fillId="0" borderId="91" xfId="0" applyFont="1" applyBorder="1" applyAlignment="1">
      <alignment horizontal="center" vertical="center"/>
    </xf>
    <xf numFmtId="0" fontId="60" fillId="0" borderId="88" xfId="0" applyFont="1" applyBorder="1" applyAlignment="1">
      <alignment horizontal="center" vertical="center"/>
    </xf>
    <xf numFmtId="0" fontId="60" fillId="0" borderId="74" xfId="0" applyFont="1" applyBorder="1" applyAlignment="1">
      <alignment horizontal="center" vertical="center"/>
    </xf>
    <xf numFmtId="0" fontId="60" fillId="0" borderId="93" xfId="0" applyFont="1" applyBorder="1" applyAlignment="1">
      <alignment horizontal="center" vertical="center"/>
    </xf>
    <xf numFmtId="0" fontId="60" fillId="0" borderId="94" xfId="0" applyFont="1" applyBorder="1" applyAlignment="1">
      <alignment horizontal="center" vertical="center"/>
    </xf>
    <xf numFmtId="0" fontId="60" fillId="0" borderId="50" xfId="0" applyFont="1" applyBorder="1" applyAlignment="1">
      <alignment horizontal="center" vertical="center"/>
    </xf>
    <xf numFmtId="165" fontId="6" fillId="37" borderId="91" xfId="785" applyFont="1" applyFill="1" applyBorder="1" applyAlignment="1">
      <alignment horizontal="center" vertical="center" wrapText="1"/>
    </xf>
    <xf numFmtId="165" fontId="6" fillId="37" borderId="74" xfId="785" applyFont="1" applyFill="1" applyBorder="1" applyAlignment="1">
      <alignment horizontal="center" vertical="center" wrapText="1"/>
    </xf>
    <xf numFmtId="165" fontId="6" fillId="37" borderId="93" xfId="785" applyFont="1" applyFill="1" applyBorder="1" applyAlignment="1">
      <alignment horizontal="center" vertical="center" wrapText="1"/>
    </xf>
    <xf numFmtId="165" fontId="6" fillId="37" borderId="50" xfId="785" applyFont="1" applyFill="1" applyBorder="1" applyAlignment="1">
      <alignment horizontal="center" vertical="center" wrapText="1"/>
    </xf>
    <xf numFmtId="3" fontId="3" fillId="0" borderId="42" xfId="0" applyNumberFormat="1" applyFont="1" applyBorder="1" applyAlignment="1">
      <alignment horizontal="center" vertical="center" wrapText="1"/>
    </xf>
    <xf numFmtId="3" fontId="3" fillId="0" borderId="33" xfId="0" applyNumberFormat="1" applyFont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 wrapText="1"/>
    </xf>
    <xf numFmtId="2" fontId="0" fillId="0" borderId="21" xfId="0" applyNumberFormat="1" applyBorder="1" applyAlignment="1">
      <alignment horizontal="center"/>
    </xf>
    <xf numFmtId="0" fontId="0" fillId="0" borderId="21" xfId="0" applyBorder="1" applyAlignment="1">
      <alignment horizontal="center"/>
    </xf>
    <xf numFmtId="165" fontId="1" fillId="41" borderId="91" xfId="785" applyFont="1" applyFill="1" applyBorder="1" applyAlignment="1">
      <alignment horizontal="center" vertical="center"/>
    </xf>
    <xf numFmtId="165" fontId="1" fillId="41" borderId="88" xfId="785" applyFont="1" applyFill="1" applyBorder="1" applyAlignment="1">
      <alignment horizontal="center" vertical="center"/>
    </xf>
    <xf numFmtId="165" fontId="1" fillId="41" borderId="74" xfId="785" applyFont="1" applyFill="1" applyBorder="1" applyAlignment="1">
      <alignment horizontal="center" vertical="center"/>
    </xf>
    <xf numFmtId="165" fontId="1" fillId="41" borderId="90" xfId="785" applyFont="1" applyFill="1" applyBorder="1" applyAlignment="1">
      <alignment horizontal="center" vertical="center"/>
    </xf>
    <xf numFmtId="165" fontId="1" fillId="41" borderId="0" xfId="785" applyFont="1" applyFill="1" applyBorder="1" applyAlignment="1">
      <alignment horizontal="center" vertical="center"/>
    </xf>
    <xf numFmtId="165" fontId="1" fillId="41" borderId="75" xfId="785" applyFont="1" applyFill="1" applyBorder="1" applyAlignment="1">
      <alignment horizontal="center" vertical="center"/>
    </xf>
    <xf numFmtId="165" fontId="1" fillId="41" borderId="93" xfId="785" applyFont="1" applyFill="1" applyBorder="1" applyAlignment="1">
      <alignment horizontal="center" vertical="center"/>
    </xf>
    <xf numFmtId="165" fontId="1" fillId="41" borderId="94" xfId="785" applyFont="1" applyFill="1" applyBorder="1" applyAlignment="1">
      <alignment horizontal="center" vertical="center"/>
    </xf>
    <xf numFmtId="165" fontId="1" fillId="41" borderId="50" xfId="785" applyFont="1" applyFill="1" applyBorder="1" applyAlignment="1">
      <alignment horizontal="center" vertical="center"/>
    </xf>
    <xf numFmtId="0" fontId="102" fillId="37" borderId="0" xfId="0" applyFont="1" applyFill="1" applyBorder="1" applyAlignment="1">
      <alignment horizontal="center" vertical="center"/>
    </xf>
    <xf numFmtId="0" fontId="83" fillId="37" borderId="0" xfId="0" applyFont="1" applyFill="1" applyBorder="1"/>
    <xf numFmtId="10" fontId="91" fillId="37" borderId="0" xfId="0" applyNumberFormat="1" applyFont="1" applyFill="1" applyBorder="1" applyAlignment="1">
      <alignment horizontal="center" vertical="center"/>
    </xf>
    <xf numFmtId="0" fontId="90" fillId="37" borderId="0" xfId="0" applyFont="1" applyFill="1" applyBorder="1"/>
    <xf numFmtId="0" fontId="92" fillId="37" borderId="0" xfId="0" applyFont="1" applyFill="1" applyBorder="1" applyAlignment="1">
      <alignment horizontal="center" vertical="center"/>
    </xf>
    <xf numFmtId="0" fontId="83" fillId="37" borderId="28" xfId="0" applyFont="1" applyFill="1" applyBorder="1"/>
    <xf numFmtId="40" fontId="101" fillId="0" borderId="131" xfId="0" applyNumberFormat="1" applyFont="1" applyBorder="1" applyAlignment="1">
      <alignment horizontal="center" vertical="center"/>
    </xf>
    <xf numFmtId="0" fontId="83" fillId="0" borderId="132" xfId="0" applyFont="1" applyBorder="1"/>
    <xf numFmtId="1" fontId="83" fillId="37" borderId="23" xfId="0" applyNumberFormat="1" applyFont="1" applyFill="1" applyBorder="1" applyAlignment="1">
      <alignment horizontal="left"/>
    </xf>
    <xf numFmtId="1" fontId="83" fillId="37" borderId="28" xfId="0" applyNumberFormat="1" applyFont="1" applyFill="1" applyBorder="1" applyAlignment="1">
      <alignment horizontal="left"/>
    </xf>
    <xf numFmtId="0" fontId="83" fillId="37" borderId="29" xfId="0" applyFont="1" applyFill="1" applyBorder="1"/>
    <xf numFmtId="1" fontId="85" fillId="36" borderId="111" xfId="0" applyNumberFormat="1" applyFont="1" applyFill="1" applyBorder="1" applyAlignment="1">
      <alignment horizontal="left"/>
    </xf>
    <xf numFmtId="0" fontId="85" fillId="36" borderId="109" xfId="0" applyFont="1" applyFill="1" applyBorder="1"/>
    <xf numFmtId="0" fontId="85" fillId="36" borderId="110" xfId="0" applyFont="1" applyFill="1" applyBorder="1"/>
    <xf numFmtId="1" fontId="82" fillId="0" borderId="111" xfId="0" applyNumberFormat="1" applyFont="1" applyBorder="1" applyAlignment="1">
      <alignment horizontal="left"/>
    </xf>
    <xf numFmtId="0" fontId="83" fillId="0" borderId="109" xfId="0" applyFont="1" applyBorder="1"/>
    <xf numFmtId="0" fontId="83" fillId="0" borderId="110" xfId="0" applyFont="1" applyBorder="1"/>
    <xf numFmtId="1" fontId="83" fillId="0" borderId="111" xfId="0" applyNumberFormat="1" applyFont="1" applyBorder="1" applyAlignment="1">
      <alignment horizontal="left"/>
    </xf>
    <xf numFmtId="1" fontId="83" fillId="0" borderId="109" xfId="0" applyNumberFormat="1" applyFont="1" applyBorder="1" applyAlignment="1">
      <alignment horizontal="left"/>
    </xf>
    <xf numFmtId="1" fontId="83" fillId="0" borderId="110" xfId="0" applyNumberFormat="1" applyFont="1" applyBorder="1" applyAlignment="1">
      <alignment horizontal="left"/>
    </xf>
    <xf numFmtId="166" fontId="101" fillId="0" borderId="133" xfId="0" applyNumberFormat="1" applyFont="1" applyBorder="1" applyAlignment="1">
      <alignment horizontal="center" vertical="center"/>
    </xf>
    <xf numFmtId="0" fontId="83" fillId="0" borderId="134" xfId="0" applyFont="1" applyBorder="1"/>
    <xf numFmtId="10" fontId="101" fillId="0" borderId="131" xfId="0" applyNumberFormat="1" applyFont="1" applyBorder="1" applyAlignment="1">
      <alignment horizontal="center" vertical="center"/>
    </xf>
    <xf numFmtId="10" fontId="83" fillId="0" borderId="132" xfId="0" applyNumberFormat="1" applyFont="1" applyBorder="1"/>
    <xf numFmtId="0" fontId="92" fillId="0" borderId="114" xfId="0" applyFont="1" applyBorder="1" applyAlignment="1">
      <alignment horizontal="center" vertical="center" wrapText="1"/>
    </xf>
    <xf numFmtId="0" fontId="83" fillId="0" borderId="115" xfId="0" applyFont="1" applyBorder="1"/>
    <xf numFmtId="0" fontId="83" fillId="0" borderId="122" xfId="0" applyFont="1" applyBorder="1"/>
    <xf numFmtId="0" fontId="83" fillId="0" borderId="22" xfId="0" applyFont="1" applyBorder="1"/>
    <xf numFmtId="0" fontId="83" fillId="0" borderId="0" xfId="0" applyFont="1" applyBorder="1"/>
    <xf numFmtId="0" fontId="83" fillId="0" borderId="123" xfId="0" applyFont="1" applyBorder="1"/>
    <xf numFmtId="0" fontId="88" fillId="0" borderId="124" xfId="0" applyFont="1" applyBorder="1" applyAlignment="1">
      <alignment horizontal="center" vertical="center"/>
    </xf>
    <xf numFmtId="0" fontId="83" fillId="0" borderId="31" xfId="0" applyFont="1" applyBorder="1"/>
    <xf numFmtId="0" fontId="83" fillId="0" borderId="125" xfId="0" applyFont="1" applyBorder="1"/>
    <xf numFmtId="0" fontId="83" fillId="0" borderId="126" xfId="0" applyFont="1" applyBorder="1"/>
    <xf numFmtId="0" fontId="83" fillId="0" borderId="28" xfId="0" applyFont="1" applyBorder="1"/>
    <xf numFmtId="0" fontId="83" fillId="0" borderId="127" xfId="0" applyFont="1" applyBorder="1"/>
    <xf numFmtId="1" fontId="82" fillId="0" borderId="128" xfId="0" applyNumberFormat="1" applyFont="1" applyBorder="1" applyAlignment="1">
      <alignment horizontal="left"/>
    </xf>
    <xf numFmtId="0" fontId="83" fillId="0" borderId="129" xfId="0" applyFont="1" applyBorder="1"/>
    <xf numFmtId="0" fontId="83" fillId="0" borderId="130" xfId="0" applyFont="1" applyBorder="1"/>
    <xf numFmtId="1" fontId="83" fillId="36" borderId="111" xfId="0" applyNumberFormat="1" applyFont="1" applyFill="1" applyBorder="1" applyAlignment="1">
      <alignment horizontal="left"/>
    </xf>
    <xf numFmtId="0" fontId="83" fillId="36" borderId="109" xfId="0" applyFont="1" applyFill="1" applyBorder="1"/>
    <xf numFmtId="0" fontId="83" fillId="36" borderId="110" xfId="0" applyFont="1" applyFill="1" applyBorder="1"/>
    <xf numFmtId="1" fontId="59" fillId="37" borderId="22" xfId="0" applyNumberFormat="1" applyFont="1" applyFill="1" applyBorder="1" applyAlignment="1">
      <alignment horizontal="left"/>
    </xf>
    <xf numFmtId="1" fontId="59" fillId="37" borderId="0" xfId="0" applyNumberFormat="1" applyFont="1" applyFill="1" applyBorder="1" applyAlignment="1">
      <alignment horizontal="left"/>
    </xf>
    <xf numFmtId="1" fontId="59" fillId="37" borderId="27" xfId="0" applyNumberFormat="1" applyFont="1" applyFill="1" applyBorder="1" applyAlignment="1">
      <alignment horizontal="left"/>
    </xf>
    <xf numFmtId="1" fontId="3" fillId="37" borderId="22" xfId="0" applyNumberFormat="1" applyFont="1" applyFill="1" applyBorder="1" applyAlignment="1">
      <alignment horizontal="left" wrapText="1"/>
    </xf>
    <xf numFmtId="1" fontId="3" fillId="37" borderId="0" xfId="0" applyNumberFormat="1" applyFont="1" applyFill="1" applyBorder="1" applyAlignment="1">
      <alignment horizontal="left" wrapText="1"/>
    </xf>
    <xf numFmtId="1" fontId="3" fillId="37" borderId="27" xfId="0" applyNumberFormat="1" applyFont="1" applyFill="1" applyBorder="1" applyAlignment="1">
      <alignment horizontal="left" wrapText="1"/>
    </xf>
    <xf numFmtId="1" fontId="3" fillId="37" borderId="22" xfId="0" applyNumberFormat="1" applyFont="1" applyFill="1" applyBorder="1" applyAlignment="1">
      <alignment horizontal="left"/>
    </xf>
    <xf numFmtId="1" fontId="3" fillId="37" borderId="0" xfId="0" applyNumberFormat="1" applyFont="1" applyFill="1" applyBorder="1" applyAlignment="1">
      <alignment horizontal="left"/>
    </xf>
    <xf numFmtId="1" fontId="3" fillId="37" borderId="27" xfId="0" applyNumberFormat="1" applyFont="1" applyFill="1" applyBorder="1" applyAlignment="1">
      <alignment horizontal="left"/>
    </xf>
    <xf numFmtId="0" fontId="88" fillId="0" borderId="120" xfId="0" applyFont="1" applyBorder="1" applyAlignment="1">
      <alignment horizontal="center" vertical="center"/>
    </xf>
    <xf numFmtId="0" fontId="83" fillId="0" borderId="121" xfId="0" applyFont="1" applyBorder="1"/>
    <xf numFmtId="0" fontId="101" fillId="37" borderId="22" xfId="0" applyFont="1" applyFill="1" applyBorder="1" applyAlignment="1">
      <alignment horizontal="center" vertical="center"/>
    </xf>
    <xf numFmtId="0" fontId="101" fillId="37" borderId="0" xfId="0" applyFont="1" applyFill="1" applyBorder="1" applyAlignment="1">
      <alignment horizontal="center" vertical="center"/>
    </xf>
    <xf numFmtId="0" fontId="101" fillId="37" borderId="27" xfId="0" applyFont="1" applyFill="1" applyBorder="1" applyAlignment="1">
      <alignment horizontal="center" vertical="center"/>
    </xf>
    <xf numFmtId="0" fontId="101" fillId="37" borderId="23" xfId="0" applyFont="1" applyFill="1" applyBorder="1" applyAlignment="1">
      <alignment horizontal="center" vertical="center"/>
    </xf>
    <xf numFmtId="0" fontId="101" fillId="37" borderId="28" xfId="0" applyFont="1" applyFill="1" applyBorder="1" applyAlignment="1">
      <alignment horizontal="center" vertical="center"/>
    </xf>
    <xf numFmtId="0" fontId="101" fillId="37" borderId="29" xfId="0" applyFont="1" applyFill="1" applyBorder="1" applyAlignment="1">
      <alignment horizontal="center" vertical="center"/>
    </xf>
    <xf numFmtId="1" fontId="5" fillId="37" borderId="30" xfId="0" applyNumberFormat="1" applyFont="1" applyFill="1" applyBorder="1" applyAlignment="1">
      <alignment horizontal="left"/>
    </xf>
    <xf numFmtId="0" fontId="5" fillId="37" borderId="31" xfId="0" applyFont="1" applyFill="1" applyBorder="1"/>
    <xf numFmtId="1" fontId="3" fillId="37" borderId="31" xfId="0" applyNumberFormat="1" applyFont="1" applyFill="1" applyBorder="1" applyAlignment="1">
      <alignment horizontal="left"/>
    </xf>
    <xf numFmtId="0" fontId="3" fillId="37" borderId="31" xfId="0" applyFont="1" applyFill="1" applyBorder="1"/>
    <xf numFmtId="0" fontId="3" fillId="37" borderId="32" xfId="0" applyFont="1" applyFill="1" applyBorder="1"/>
    <xf numFmtId="1" fontId="101" fillId="37" borderId="34" xfId="0" applyNumberFormat="1" applyFont="1" applyFill="1" applyBorder="1" applyAlignment="1">
      <alignment horizontal="left" wrapText="1"/>
    </xf>
    <xf numFmtId="1" fontId="101" fillId="37" borderId="21" xfId="0" applyNumberFormat="1" applyFont="1" applyFill="1" applyBorder="1" applyAlignment="1">
      <alignment horizontal="left" wrapText="1"/>
    </xf>
    <xf numFmtId="1" fontId="101" fillId="37" borderId="36" xfId="0" applyNumberFormat="1" applyFont="1" applyFill="1" applyBorder="1" applyAlignment="1">
      <alignment horizontal="left" wrapText="1"/>
    </xf>
    <xf numFmtId="1" fontId="101" fillId="37" borderId="34" xfId="0" applyNumberFormat="1" applyFont="1" applyFill="1" applyBorder="1" applyAlignment="1">
      <alignment horizontal="left"/>
    </xf>
    <xf numFmtId="1" fontId="101" fillId="37" borderId="21" xfId="0" applyNumberFormat="1" applyFont="1" applyFill="1" applyBorder="1" applyAlignment="1">
      <alignment horizontal="left"/>
    </xf>
    <xf numFmtId="1" fontId="101" fillId="37" borderId="36" xfId="0" applyNumberFormat="1" applyFont="1" applyFill="1" applyBorder="1" applyAlignment="1">
      <alignment horizontal="left"/>
    </xf>
    <xf numFmtId="1" fontId="101" fillId="37" borderId="70" xfId="0" applyNumberFormat="1" applyFont="1" applyFill="1" applyBorder="1" applyAlignment="1">
      <alignment horizontal="left"/>
    </xf>
    <xf numFmtId="0" fontId="101" fillId="37" borderId="76" xfId="0" applyFont="1" applyFill="1" applyBorder="1"/>
    <xf numFmtId="1" fontId="101" fillId="37" borderId="76" xfId="0" applyNumberFormat="1" applyFont="1" applyFill="1" applyBorder="1" applyAlignment="1">
      <alignment horizontal="left"/>
    </xf>
    <xf numFmtId="0" fontId="101" fillId="37" borderId="35" xfId="0" applyFont="1" applyFill="1" applyBorder="1"/>
    <xf numFmtId="0" fontId="101" fillId="37" borderId="21" xfId="0" applyFont="1" applyFill="1" applyBorder="1"/>
    <xf numFmtId="0" fontId="101" fillId="37" borderId="36" xfId="0" applyFont="1" applyFill="1" applyBorder="1"/>
    <xf numFmtId="1" fontId="83" fillId="37" borderId="34" xfId="0" applyNumberFormat="1" applyFont="1" applyFill="1" applyBorder="1" applyAlignment="1">
      <alignment horizontal="left"/>
    </xf>
    <xf numFmtId="0" fontId="83" fillId="37" borderId="21" xfId="0" applyFont="1" applyFill="1" applyBorder="1"/>
    <xf numFmtId="1" fontId="83" fillId="37" borderId="21" xfId="0" applyNumberFormat="1" applyFont="1" applyFill="1" applyBorder="1" applyAlignment="1">
      <alignment horizontal="left"/>
    </xf>
    <xf numFmtId="0" fontId="83" fillId="37" borderId="36" xfId="0" applyFont="1" applyFill="1" applyBorder="1"/>
    <xf numFmtId="0" fontId="3" fillId="37" borderId="37" xfId="0" applyFont="1" applyFill="1" applyBorder="1" applyAlignment="1">
      <alignment horizontal="left" vertical="center" wrapText="1"/>
    </xf>
    <xf numFmtId="0" fontId="3" fillId="37" borderId="25" xfId="0" applyFont="1" applyFill="1" applyBorder="1" applyAlignment="1">
      <alignment horizontal="left" vertical="center" wrapText="1"/>
    </xf>
    <xf numFmtId="0" fontId="3" fillId="37" borderId="39" xfId="0" applyFont="1" applyFill="1" applyBorder="1" applyAlignment="1">
      <alignment horizontal="left" vertical="center" wrapText="1"/>
    </xf>
    <xf numFmtId="0" fontId="3" fillId="37" borderId="97" xfId="0" applyFont="1" applyFill="1" applyBorder="1" applyAlignment="1">
      <alignment horizontal="left"/>
    </xf>
    <xf numFmtId="0" fontId="3" fillId="37" borderId="54" xfId="0" applyFont="1" applyFill="1" applyBorder="1" applyAlignment="1">
      <alignment horizontal="left"/>
    </xf>
    <xf numFmtId="0" fontId="3" fillId="37" borderId="86" xfId="0" applyFont="1" applyFill="1" applyBorder="1" applyAlignment="1">
      <alignment horizontal="left"/>
    </xf>
    <xf numFmtId="0" fontId="3" fillId="37" borderId="37" xfId="0" applyFont="1" applyFill="1" applyBorder="1" applyAlignment="1">
      <alignment horizontal="left"/>
    </xf>
    <xf numFmtId="0" fontId="3" fillId="37" borderId="39" xfId="0" applyFont="1" applyFill="1" applyBorder="1" applyAlignment="1">
      <alignment horizontal="left"/>
    </xf>
    <xf numFmtId="3" fontId="2" fillId="37" borderId="46" xfId="0" applyNumberFormat="1" applyFont="1" applyFill="1" applyBorder="1" applyAlignment="1">
      <alignment horizontal="center"/>
    </xf>
    <xf numFmtId="1" fontId="2" fillId="37" borderId="46" xfId="0" applyNumberFormat="1" applyFont="1" applyFill="1" applyBorder="1" applyAlignment="1">
      <alignment horizontal="center"/>
    </xf>
    <xf numFmtId="1" fontId="2" fillId="37" borderId="47" xfId="0" applyNumberFormat="1" applyFont="1" applyFill="1" applyBorder="1" applyAlignment="1">
      <alignment horizontal="center"/>
    </xf>
    <xf numFmtId="3" fontId="3" fillId="37" borderId="41" xfId="0" applyNumberFormat="1" applyFont="1" applyFill="1" applyBorder="1" applyAlignment="1">
      <alignment horizontal="center"/>
    </xf>
    <xf numFmtId="3" fontId="3" fillId="37" borderId="94" xfId="0" applyNumberFormat="1" applyFont="1" applyFill="1" applyBorder="1" applyAlignment="1">
      <alignment horizontal="center"/>
    </xf>
    <xf numFmtId="3" fontId="3" fillId="37" borderId="50" xfId="0" applyNumberFormat="1" applyFont="1" applyFill="1" applyBorder="1" applyAlignment="1">
      <alignment horizontal="center"/>
    </xf>
    <xf numFmtId="3" fontId="2" fillId="37" borderId="71" xfId="0" applyNumberFormat="1" applyFont="1" applyFill="1" applyBorder="1" applyAlignment="1">
      <alignment horizontal="center" vertical="center"/>
    </xf>
    <xf numFmtId="3" fontId="2" fillId="37" borderId="72" xfId="0" applyNumberFormat="1" applyFont="1" applyFill="1" applyBorder="1" applyAlignment="1">
      <alignment horizontal="center" vertical="center"/>
    </xf>
    <xf numFmtId="3" fontId="2" fillId="37" borderId="40" xfId="0" applyNumberFormat="1" applyFont="1" applyFill="1" applyBorder="1" applyAlignment="1">
      <alignment horizontal="center" vertical="center"/>
    </xf>
    <xf numFmtId="3" fontId="2" fillId="37" borderId="48" xfId="0" applyNumberFormat="1" applyFont="1" applyFill="1" applyBorder="1" applyAlignment="1">
      <alignment horizontal="center" vertical="center"/>
    </xf>
    <xf numFmtId="3" fontId="2" fillId="37" borderId="52" xfId="0" applyNumberFormat="1" applyFont="1" applyFill="1" applyBorder="1" applyAlignment="1">
      <alignment horizontal="center" vertical="center"/>
    </xf>
    <xf numFmtId="3" fontId="2" fillId="37" borderId="51" xfId="0" applyNumberFormat="1" applyFont="1" applyFill="1" applyBorder="1" applyAlignment="1">
      <alignment horizontal="center" vertical="center"/>
    </xf>
    <xf numFmtId="3" fontId="1" fillId="37" borderId="93" xfId="0" applyNumberFormat="1" applyFont="1" applyFill="1" applyBorder="1" applyAlignment="1">
      <alignment horizontal="center"/>
    </xf>
    <xf numFmtId="3" fontId="1" fillId="37" borderId="94" xfId="0" applyNumberFormat="1" applyFont="1" applyFill="1" applyBorder="1" applyAlignment="1">
      <alignment horizontal="center"/>
    </xf>
    <xf numFmtId="3" fontId="1" fillId="37" borderId="50" xfId="0" applyNumberFormat="1" applyFont="1" applyFill="1" applyBorder="1" applyAlignment="1">
      <alignment horizontal="center"/>
    </xf>
    <xf numFmtId="3" fontId="2" fillId="37" borderId="24" xfId="0" applyNumberFormat="1" applyFont="1" applyFill="1" applyBorder="1" applyAlignment="1">
      <alignment horizontal="center" vertical="center" wrapText="1"/>
    </xf>
    <xf numFmtId="0" fontId="1" fillId="37" borderId="26" xfId="0" applyFont="1" applyFill="1" applyBorder="1" applyAlignment="1">
      <alignment horizontal="center" vertical="center" wrapText="1"/>
    </xf>
    <xf numFmtId="3" fontId="2" fillId="37" borderId="42" xfId="0" applyNumberFormat="1" applyFont="1" applyFill="1" applyBorder="1" applyAlignment="1">
      <alignment horizontal="center" vertical="center" wrapText="1"/>
    </xf>
    <xf numFmtId="0" fontId="1" fillId="37" borderId="33" xfId="0" applyFont="1" applyFill="1" applyBorder="1" applyAlignment="1">
      <alignment horizontal="center" vertical="center" wrapText="1"/>
    </xf>
    <xf numFmtId="0" fontId="1" fillId="37" borderId="43" xfId="0" applyFont="1" applyFill="1" applyBorder="1" applyAlignment="1">
      <alignment horizontal="center" vertical="center" wrapText="1"/>
    </xf>
    <xf numFmtId="3" fontId="2" fillId="37" borderId="91" xfId="0" applyNumberFormat="1" applyFont="1" applyFill="1" applyBorder="1" applyAlignment="1">
      <alignment horizontal="center" vertical="center"/>
    </xf>
    <xf numFmtId="3" fontId="2" fillId="37" borderId="88" xfId="0" applyNumberFormat="1" applyFont="1" applyFill="1" applyBorder="1" applyAlignment="1">
      <alignment horizontal="center" vertical="center"/>
    </xf>
    <xf numFmtId="3" fontId="2" fillId="37" borderId="74" xfId="0" applyNumberFormat="1" applyFont="1" applyFill="1" applyBorder="1" applyAlignment="1">
      <alignment horizontal="center" vertical="center"/>
    </xf>
    <xf numFmtId="3" fontId="2" fillId="37" borderId="93" xfId="0" applyNumberFormat="1" applyFont="1" applyFill="1" applyBorder="1" applyAlignment="1">
      <alignment horizontal="center" vertical="center"/>
    </xf>
    <xf numFmtId="3" fontId="2" fillId="37" borderId="94" xfId="0" applyNumberFormat="1" applyFont="1" applyFill="1" applyBorder="1" applyAlignment="1">
      <alignment horizontal="center" vertical="center"/>
    </xf>
    <xf numFmtId="3" fontId="2" fillId="37" borderId="50" xfId="0" applyNumberFormat="1" applyFont="1" applyFill="1" applyBorder="1" applyAlignment="1">
      <alignment horizontal="center" vertical="center"/>
    </xf>
    <xf numFmtId="3" fontId="2" fillId="37" borderId="21" xfId="0" applyNumberFormat="1" applyFont="1" applyFill="1" applyBorder="1" applyAlignment="1">
      <alignment horizontal="center" vertical="center"/>
    </xf>
    <xf numFmtId="0" fontId="1" fillId="37" borderId="21" xfId="0" applyFont="1" applyFill="1" applyBorder="1" applyAlignment="1">
      <alignment horizontal="center" vertical="center" wrapText="1"/>
    </xf>
    <xf numFmtId="0" fontId="1" fillId="37" borderId="36" xfId="0" applyFont="1" applyFill="1" applyBorder="1" applyAlignment="1">
      <alignment horizontal="center" vertical="center" wrapText="1"/>
    </xf>
    <xf numFmtId="0" fontId="2" fillId="37" borderId="21" xfId="0" applyFont="1" applyFill="1" applyBorder="1" applyAlignment="1">
      <alignment horizontal="center"/>
    </xf>
    <xf numFmtId="0" fontId="2" fillId="33" borderId="24" xfId="0" applyFont="1" applyFill="1" applyBorder="1" applyAlignment="1">
      <alignment horizontal="center" vertical="center"/>
    </xf>
    <xf numFmtId="0" fontId="2" fillId="33" borderId="25" xfId="0" applyFont="1" applyFill="1" applyBorder="1" applyAlignment="1">
      <alignment horizontal="center" vertical="center"/>
    </xf>
    <xf numFmtId="0" fontId="2" fillId="33" borderId="26" xfId="0" applyFont="1" applyFill="1" applyBorder="1" applyAlignment="1">
      <alignment horizontal="center" vertical="center"/>
    </xf>
    <xf numFmtId="0" fontId="2" fillId="37" borderId="2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33" borderId="24" xfId="0" applyFont="1" applyFill="1" applyBorder="1" applyAlignment="1">
      <alignment horizontal="left"/>
    </xf>
    <xf numFmtId="0" fontId="2" fillId="33" borderId="26" xfId="0" applyFont="1" applyFill="1" applyBorder="1" applyAlignment="1">
      <alignment horizontal="left"/>
    </xf>
    <xf numFmtId="0" fontId="2" fillId="33" borderId="21" xfId="0" applyFont="1" applyFill="1" applyBorder="1" applyAlignment="1">
      <alignment horizontal="left"/>
    </xf>
    <xf numFmtId="0" fontId="5" fillId="33" borderId="24" xfId="0" applyFont="1" applyFill="1" applyBorder="1" applyAlignment="1">
      <alignment horizontal="center" vertical="center"/>
    </xf>
    <xf numFmtId="0" fontId="5" fillId="33" borderId="25" xfId="0" applyFont="1" applyFill="1" applyBorder="1" applyAlignment="1">
      <alignment horizontal="center" vertical="center"/>
    </xf>
    <xf numFmtId="0" fontId="5" fillId="33" borderId="26" xfId="0" applyFont="1" applyFill="1" applyBorder="1" applyAlignment="1">
      <alignment horizontal="center" vertical="center"/>
    </xf>
    <xf numFmtId="0" fontId="3" fillId="33" borderId="24" xfId="0" applyFont="1" applyFill="1" applyBorder="1" applyAlignment="1">
      <alignment horizontal="center"/>
    </xf>
    <xf numFmtId="0" fontId="3" fillId="33" borderId="25" xfId="0" applyFont="1" applyFill="1" applyBorder="1" applyAlignment="1">
      <alignment horizontal="center"/>
    </xf>
    <xf numFmtId="0" fontId="3" fillId="33" borderId="26" xfId="0" applyFont="1" applyFill="1" applyBorder="1" applyAlignment="1">
      <alignment horizontal="center"/>
    </xf>
  </cellXfs>
  <cellStyles count="794">
    <cellStyle name=" 1" xfId="1" xr:uid="{00000000-0005-0000-0000-000000000000}"/>
    <cellStyle name="20% - Accent1" xfId="2" xr:uid="{00000000-0005-0000-0000-000001000000}"/>
    <cellStyle name="20% - Accent2" xfId="3" xr:uid="{00000000-0005-0000-0000-000002000000}"/>
    <cellStyle name="20% - Accent3" xfId="4" xr:uid="{00000000-0005-0000-0000-000003000000}"/>
    <cellStyle name="20% - Accent4" xfId="5" xr:uid="{00000000-0005-0000-0000-000004000000}"/>
    <cellStyle name="20% - Accent5" xfId="6" xr:uid="{00000000-0005-0000-0000-000005000000}"/>
    <cellStyle name="20% - Accent6" xfId="7" xr:uid="{00000000-0005-0000-0000-000006000000}"/>
    <cellStyle name="20% - Ênfase1 2" xfId="8" xr:uid="{00000000-0005-0000-0000-000007000000}"/>
    <cellStyle name="20% - Ênfase1 2 2" xfId="9" xr:uid="{00000000-0005-0000-0000-000008000000}"/>
    <cellStyle name="20% - Ênfase1 2 3" xfId="10" xr:uid="{00000000-0005-0000-0000-000009000000}"/>
    <cellStyle name="20% - Ênfase1 2 4" xfId="11" xr:uid="{00000000-0005-0000-0000-00000A000000}"/>
    <cellStyle name="20% - Ênfase1 2_Compo" xfId="12" xr:uid="{00000000-0005-0000-0000-00000B000000}"/>
    <cellStyle name="20% - Ênfase1 3" xfId="13" xr:uid="{00000000-0005-0000-0000-00000C000000}"/>
    <cellStyle name="20% - Ênfase1 4" xfId="14" xr:uid="{00000000-0005-0000-0000-00000D000000}"/>
    <cellStyle name="20% - Ênfase1 5" xfId="15" xr:uid="{00000000-0005-0000-0000-00000E000000}"/>
    <cellStyle name="20% - Ênfase2 2" xfId="16" xr:uid="{00000000-0005-0000-0000-00000F000000}"/>
    <cellStyle name="20% - Ênfase2 2 2" xfId="17" xr:uid="{00000000-0005-0000-0000-000010000000}"/>
    <cellStyle name="20% - Ênfase2 2 3" xfId="18" xr:uid="{00000000-0005-0000-0000-000011000000}"/>
    <cellStyle name="20% - Ênfase2 2 4" xfId="19" xr:uid="{00000000-0005-0000-0000-000012000000}"/>
    <cellStyle name="20% - Ênfase2 2_Compo" xfId="20" xr:uid="{00000000-0005-0000-0000-000013000000}"/>
    <cellStyle name="20% - Ênfase2 3" xfId="21" xr:uid="{00000000-0005-0000-0000-000014000000}"/>
    <cellStyle name="20% - Ênfase2 4" xfId="22" xr:uid="{00000000-0005-0000-0000-000015000000}"/>
    <cellStyle name="20% - Ênfase2 5" xfId="23" xr:uid="{00000000-0005-0000-0000-000016000000}"/>
    <cellStyle name="20% - Ênfase3 2" xfId="24" xr:uid="{00000000-0005-0000-0000-000017000000}"/>
    <cellStyle name="20% - Ênfase3 2 2" xfId="25" xr:uid="{00000000-0005-0000-0000-000018000000}"/>
    <cellStyle name="20% - Ênfase3 2 3" xfId="26" xr:uid="{00000000-0005-0000-0000-000019000000}"/>
    <cellStyle name="20% - Ênfase3 2 4" xfId="27" xr:uid="{00000000-0005-0000-0000-00001A000000}"/>
    <cellStyle name="20% - Ênfase3 2_Compo" xfId="28" xr:uid="{00000000-0005-0000-0000-00001B000000}"/>
    <cellStyle name="20% - Ênfase3 3" xfId="29" xr:uid="{00000000-0005-0000-0000-00001C000000}"/>
    <cellStyle name="20% - Ênfase3 4" xfId="30" xr:uid="{00000000-0005-0000-0000-00001D000000}"/>
    <cellStyle name="20% - Ênfase3 5" xfId="31" xr:uid="{00000000-0005-0000-0000-00001E000000}"/>
    <cellStyle name="20% - Ênfase4 2" xfId="32" xr:uid="{00000000-0005-0000-0000-00001F000000}"/>
    <cellStyle name="20% - Ênfase4 2 2" xfId="33" xr:uid="{00000000-0005-0000-0000-000020000000}"/>
    <cellStyle name="20% - Ênfase4 2 3" xfId="34" xr:uid="{00000000-0005-0000-0000-000021000000}"/>
    <cellStyle name="20% - Ênfase4 2 4" xfId="35" xr:uid="{00000000-0005-0000-0000-000022000000}"/>
    <cellStyle name="20% - Ênfase4 2_Compo" xfId="36" xr:uid="{00000000-0005-0000-0000-000023000000}"/>
    <cellStyle name="20% - Ênfase4 3" xfId="37" xr:uid="{00000000-0005-0000-0000-000024000000}"/>
    <cellStyle name="20% - Ênfase4 4" xfId="38" xr:uid="{00000000-0005-0000-0000-000025000000}"/>
    <cellStyle name="20% - Ênfase4 5" xfId="39" xr:uid="{00000000-0005-0000-0000-000026000000}"/>
    <cellStyle name="20% - Ênfase5 2" xfId="40" xr:uid="{00000000-0005-0000-0000-000027000000}"/>
    <cellStyle name="20% - Ênfase5 2 2" xfId="41" xr:uid="{00000000-0005-0000-0000-000028000000}"/>
    <cellStyle name="20% - Ênfase5 2 3" xfId="42" xr:uid="{00000000-0005-0000-0000-000029000000}"/>
    <cellStyle name="20% - Ênfase5 2 4" xfId="43" xr:uid="{00000000-0005-0000-0000-00002A000000}"/>
    <cellStyle name="20% - Ênfase5 2_Compo" xfId="44" xr:uid="{00000000-0005-0000-0000-00002B000000}"/>
    <cellStyle name="20% - Ênfase5 3" xfId="45" xr:uid="{00000000-0005-0000-0000-00002C000000}"/>
    <cellStyle name="20% - Ênfase5 4" xfId="46" xr:uid="{00000000-0005-0000-0000-00002D000000}"/>
    <cellStyle name="20% - Ênfase5 5" xfId="47" xr:uid="{00000000-0005-0000-0000-00002E000000}"/>
    <cellStyle name="20% - Ênfase6 2" xfId="48" xr:uid="{00000000-0005-0000-0000-00002F000000}"/>
    <cellStyle name="20% - Ênfase6 2 2" xfId="49" xr:uid="{00000000-0005-0000-0000-000030000000}"/>
    <cellStyle name="20% - Ênfase6 2 3" xfId="50" xr:uid="{00000000-0005-0000-0000-000031000000}"/>
    <cellStyle name="20% - Ênfase6 2 4" xfId="51" xr:uid="{00000000-0005-0000-0000-000032000000}"/>
    <cellStyle name="20% - Ênfase6 2_Compo" xfId="52" xr:uid="{00000000-0005-0000-0000-000033000000}"/>
    <cellStyle name="20% - Ênfase6 3" xfId="53" xr:uid="{00000000-0005-0000-0000-000034000000}"/>
    <cellStyle name="20% - Ênfase6 4" xfId="54" xr:uid="{00000000-0005-0000-0000-000035000000}"/>
    <cellStyle name="20% - Ênfase6 5" xfId="55" xr:uid="{00000000-0005-0000-0000-000036000000}"/>
    <cellStyle name="40% - Accent1" xfId="56" xr:uid="{00000000-0005-0000-0000-000037000000}"/>
    <cellStyle name="40% - Accent2" xfId="57" xr:uid="{00000000-0005-0000-0000-000038000000}"/>
    <cellStyle name="40% - Accent3" xfId="58" xr:uid="{00000000-0005-0000-0000-000039000000}"/>
    <cellStyle name="40% - Accent4" xfId="59" xr:uid="{00000000-0005-0000-0000-00003A000000}"/>
    <cellStyle name="40% - Accent5" xfId="60" xr:uid="{00000000-0005-0000-0000-00003B000000}"/>
    <cellStyle name="40% - Accent6" xfId="61" xr:uid="{00000000-0005-0000-0000-00003C000000}"/>
    <cellStyle name="40% - Ênfase1 2" xfId="62" xr:uid="{00000000-0005-0000-0000-00003D000000}"/>
    <cellStyle name="40% - Ênfase1 2 2" xfId="63" xr:uid="{00000000-0005-0000-0000-00003E000000}"/>
    <cellStyle name="40% - Ênfase1 2 3" xfId="64" xr:uid="{00000000-0005-0000-0000-00003F000000}"/>
    <cellStyle name="40% - Ênfase1 2 4" xfId="65" xr:uid="{00000000-0005-0000-0000-000040000000}"/>
    <cellStyle name="40% - Ênfase1 2_Compo" xfId="66" xr:uid="{00000000-0005-0000-0000-000041000000}"/>
    <cellStyle name="40% - Ênfase1 3" xfId="67" xr:uid="{00000000-0005-0000-0000-000042000000}"/>
    <cellStyle name="40% - Ênfase1 4" xfId="68" xr:uid="{00000000-0005-0000-0000-000043000000}"/>
    <cellStyle name="40% - Ênfase1 5" xfId="69" xr:uid="{00000000-0005-0000-0000-000044000000}"/>
    <cellStyle name="40% - Ênfase2 2" xfId="70" xr:uid="{00000000-0005-0000-0000-000045000000}"/>
    <cellStyle name="40% - Ênfase2 2 2" xfId="71" xr:uid="{00000000-0005-0000-0000-000046000000}"/>
    <cellStyle name="40% - Ênfase2 2 3" xfId="72" xr:uid="{00000000-0005-0000-0000-000047000000}"/>
    <cellStyle name="40% - Ênfase2 2 4" xfId="73" xr:uid="{00000000-0005-0000-0000-000048000000}"/>
    <cellStyle name="40% - Ênfase2 2_Compo" xfId="74" xr:uid="{00000000-0005-0000-0000-000049000000}"/>
    <cellStyle name="40% - Ênfase2 3" xfId="75" xr:uid="{00000000-0005-0000-0000-00004A000000}"/>
    <cellStyle name="40% - Ênfase2 4" xfId="76" xr:uid="{00000000-0005-0000-0000-00004B000000}"/>
    <cellStyle name="40% - Ênfase2 5" xfId="77" xr:uid="{00000000-0005-0000-0000-00004C000000}"/>
    <cellStyle name="40% - Ênfase3 2" xfId="78" xr:uid="{00000000-0005-0000-0000-00004D000000}"/>
    <cellStyle name="40% - Ênfase3 2 2" xfId="79" xr:uid="{00000000-0005-0000-0000-00004E000000}"/>
    <cellStyle name="40% - Ênfase3 2 3" xfId="80" xr:uid="{00000000-0005-0000-0000-00004F000000}"/>
    <cellStyle name="40% - Ênfase3 2 4" xfId="81" xr:uid="{00000000-0005-0000-0000-000050000000}"/>
    <cellStyle name="40% - Ênfase3 2_Compo" xfId="82" xr:uid="{00000000-0005-0000-0000-000051000000}"/>
    <cellStyle name="40% - Ênfase3 3" xfId="83" xr:uid="{00000000-0005-0000-0000-000052000000}"/>
    <cellStyle name="40% - Ênfase3 4" xfId="84" xr:uid="{00000000-0005-0000-0000-000053000000}"/>
    <cellStyle name="40% - Ênfase3 5" xfId="85" xr:uid="{00000000-0005-0000-0000-000054000000}"/>
    <cellStyle name="40% - Ênfase4 2" xfId="86" xr:uid="{00000000-0005-0000-0000-000055000000}"/>
    <cellStyle name="40% - Ênfase4 2 2" xfId="87" xr:uid="{00000000-0005-0000-0000-000056000000}"/>
    <cellStyle name="40% - Ênfase4 2 3" xfId="88" xr:uid="{00000000-0005-0000-0000-000057000000}"/>
    <cellStyle name="40% - Ênfase4 2 4" xfId="89" xr:uid="{00000000-0005-0000-0000-000058000000}"/>
    <cellStyle name="40% - Ênfase4 2_Compo" xfId="90" xr:uid="{00000000-0005-0000-0000-000059000000}"/>
    <cellStyle name="40% - Ênfase4 3" xfId="91" xr:uid="{00000000-0005-0000-0000-00005A000000}"/>
    <cellStyle name="40% - Ênfase4 4" xfId="92" xr:uid="{00000000-0005-0000-0000-00005B000000}"/>
    <cellStyle name="40% - Ênfase4 5" xfId="93" xr:uid="{00000000-0005-0000-0000-00005C000000}"/>
    <cellStyle name="40% - Ênfase5 2" xfId="94" xr:uid="{00000000-0005-0000-0000-00005D000000}"/>
    <cellStyle name="40% - Ênfase5 2 2" xfId="95" xr:uid="{00000000-0005-0000-0000-00005E000000}"/>
    <cellStyle name="40% - Ênfase5 2 3" xfId="96" xr:uid="{00000000-0005-0000-0000-00005F000000}"/>
    <cellStyle name="40% - Ênfase5 2 4" xfId="97" xr:uid="{00000000-0005-0000-0000-000060000000}"/>
    <cellStyle name="40% - Ênfase5 2_Compo" xfId="98" xr:uid="{00000000-0005-0000-0000-000061000000}"/>
    <cellStyle name="40% - Ênfase5 3" xfId="99" xr:uid="{00000000-0005-0000-0000-000062000000}"/>
    <cellStyle name="40% - Ênfase5 4" xfId="100" xr:uid="{00000000-0005-0000-0000-000063000000}"/>
    <cellStyle name="40% - Ênfase5 5" xfId="101" xr:uid="{00000000-0005-0000-0000-000064000000}"/>
    <cellStyle name="40% - Ênfase6 2" xfId="102" xr:uid="{00000000-0005-0000-0000-000065000000}"/>
    <cellStyle name="40% - Ênfase6 2 2" xfId="103" xr:uid="{00000000-0005-0000-0000-000066000000}"/>
    <cellStyle name="40% - Ênfase6 2 3" xfId="104" xr:uid="{00000000-0005-0000-0000-000067000000}"/>
    <cellStyle name="40% - Ênfase6 2 4" xfId="105" xr:uid="{00000000-0005-0000-0000-000068000000}"/>
    <cellStyle name="40% - Ênfase6 2_Compo" xfId="106" xr:uid="{00000000-0005-0000-0000-000069000000}"/>
    <cellStyle name="40% - Ênfase6 3" xfId="107" xr:uid="{00000000-0005-0000-0000-00006A000000}"/>
    <cellStyle name="40% - Ênfase6 4" xfId="108" xr:uid="{00000000-0005-0000-0000-00006B000000}"/>
    <cellStyle name="40% - Ênfase6 5" xfId="109" xr:uid="{00000000-0005-0000-0000-00006C000000}"/>
    <cellStyle name="60% - Accent1" xfId="110" xr:uid="{00000000-0005-0000-0000-00006D000000}"/>
    <cellStyle name="60% - Accent2" xfId="111" xr:uid="{00000000-0005-0000-0000-00006E000000}"/>
    <cellStyle name="60% - Accent3" xfId="112" xr:uid="{00000000-0005-0000-0000-00006F000000}"/>
    <cellStyle name="60% - Accent4" xfId="113" xr:uid="{00000000-0005-0000-0000-000070000000}"/>
    <cellStyle name="60% - Accent5" xfId="114" xr:uid="{00000000-0005-0000-0000-000071000000}"/>
    <cellStyle name="60% - Accent6" xfId="115" xr:uid="{00000000-0005-0000-0000-000072000000}"/>
    <cellStyle name="60% - Ênfase1 2" xfId="116" xr:uid="{00000000-0005-0000-0000-000073000000}"/>
    <cellStyle name="60% - Ênfase1 2 2" xfId="117" xr:uid="{00000000-0005-0000-0000-000074000000}"/>
    <cellStyle name="60% - Ênfase1 2 3" xfId="118" xr:uid="{00000000-0005-0000-0000-000075000000}"/>
    <cellStyle name="60% - Ênfase1 2_ORÇAMENTO - FORUM DE V. GRANDE" xfId="119" xr:uid="{00000000-0005-0000-0000-000076000000}"/>
    <cellStyle name="60% - Ênfase1 3" xfId="120" xr:uid="{00000000-0005-0000-0000-000077000000}"/>
    <cellStyle name="60% - Ênfase1 4" xfId="121" xr:uid="{00000000-0005-0000-0000-000078000000}"/>
    <cellStyle name="60% - Ênfase1 5" xfId="122" xr:uid="{00000000-0005-0000-0000-000079000000}"/>
    <cellStyle name="60% - Ênfase1 6" xfId="123" xr:uid="{00000000-0005-0000-0000-00007A000000}"/>
    <cellStyle name="60% - Ênfase2 2" xfId="124" xr:uid="{00000000-0005-0000-0000-00007B000000}"/>
    <cellStyle name="60% - Ênfase2 2 2" xfId="125" xr:uid="{00000000-0005-0000-0000-00007C000000}"/>
    <cellStyle name="60% - Ênfase2 2 3" xfId="126" xr:uid="{00000000-0005-0000-0000-00007D000000}"/>
    <cellStyle name="60% - Ênfase2 2_ORÇAMENTO - FORUM DE V. GRANDE" xfId="127" xr:uid="{00000000-0005-0000-0000-00007E000000}"/>
    <cellStyle name="60% - Ênfase2 3" xfId="128" xr:uid="{00000000-0005-0000-0000-00007F000000}"/>
    <cellStyle name="60% - Ênfase2 4" xfId="129" xr:uid="{00000000-0005-0000-0000-000080000000}"/>
    <cellStyle name="60% - Ênfase2 5" xfId="130" xr:uid="{00000000-0005-0000-0000-000081000000}"/>
    <cellStyle name="60% - Ênfase2 6" xfId="131" xr:uid="{00000000-0005-0000-0000-000082000000}"/>
    <cellStyle name="60% - Ênfase3 2" xfId="132" xr:uid="{00000000-0005-0000-0000-000083000000}"/>
    <cellStyle name="60% - Ênfase3 2 2" xfId="133" xr:uid="{00000000-0005-0000-0000-000084000000}"/>
    <cellStyle name="60% - Ênfase3 2 3" xfId="134" xr:uid="{00000000-0005-0000-0000-000085000000}"/>
    <cellStyle name="60% - Ênfase3 2_ORÇAMENTO - FORUM DE V. GRANDE" xfId="135" xr:uid="{00000000-0005-0000-0000-000086000000}"/>
    <cellStyle name="60% - Ênfase3 3" xfId="136" xr:uid="{00000000-0005-0000-0000-000087000000}"/>
    <cellStyle name="60% - Ênfase3 4" xfId="137" xr:uid="{00000000-0005-0000-0000-000088000000}"/>
    <cellStyle name="60% - Ênfase3 5" xfId="138" xr:uid="{00000000-0005-0000-0000-000089000000}"/>
    <cellStyle name="60% - Ênfase3 6" xfId="139" xr:uid="{00000000-0005-0000-0000-00008A000000}"/>
    <cellStyle name="60% - Ênfase4 2" xfId="140" xr:uid="{00000000-0005-0000-0000-00008B000000}"/>
    <cellStyle name="60% - Ênfase4 2 2" xfId="141" xr:uid="{00000000-0005-0000-0000-00008C000000}"/>
    <cellStyle name="60% - Ênfase4 2 3" xfId="142" xr:uid="{00000000-0005-0000-0000-00008D000000}"/>
    <cellStyle name="60% - Ênfase4 2_ORÇAMENTO - FORUM DE V. GRANDE" xfId="143" xr:uid="{00000000-0005-0000-0000-00008E000000}"/>
    <cellStyle name="60% - Ênfase4 3" xfId="144" xr:uid="{00000000-0005-0000-0000-00008F000000}"/>
    <cellStyle name="60% - Ênfase4 4" xfId="145" xr:uid="{00000000-0005-0000-0000-000090000000}"/>
    <cellStyle name="60% - Ênfase4 5" xfId="146" xr:uid="{00000000-0005-0000-0000-000091000000}"/>
    <cellStyle name="60% - Ênfase4 6" xfId="147" xr:uid="{00000000-0005-0000-0000-000092000000}"/>
    <cellStyle name="60% - Ênfase5 2" xfId="148" xr:uid="{00000000-0005-0000-0000-000093000000}"/>
    <cellStyle name="60% - Ênfase5 2 2" xfId="149" xr:uid="{00000000-0005-0000-0000-000094000000}"/>
    <cellStyle name="60% - Ênfase5 2 3" xfId="150" xr:uid="{00000000-0005-0000-0000-000095000000}"/>
    <cellStyle name="60% - Ênfase5 2_ORÇAMENTO - FORUM DE V. GRANDE" xfId="151" xr:uid="{00000000-0005-0000-0000-000096000000}"/>
    <cellStyle name="60% - Ênfase5 3" xfId="152" xr:uid="{00000000-0005-0000-0000-000097000000}"/>
    <cellStyle name="60% - Ênfase5 4" xfId="153" xr:uid="{00000000-0005-0000-0000-000098000000}"/>
    <cellStyle name="60% - Ênfase5 5" xfId="154" xr:uid="{00000000-0005-0000-0000-000099000000}"/>
    <cellStyle name="60% - Ênfase5 6" xfId="155" xr:uid="{00000000-0005-0000-0000-00009A000000}"/>
    <cellStyle name="60% - Ênfase6 2" xfId="156" xr:uid="{00000000-0005-0000-0000-00009B000000}"/>
    <cellStyle name="60% - Ênfase6 2 2" xfId="157" xr:uid="{00000000-0005-0000-0000-00009C000000}"/>
    <cellStyle name="60% - Ênfase6 2 3" xfId="158" xr:uid="{00000000-0005-0000-0000-00009D000000}"/>
    <cellStyle name="60% - Ênfase6 2_ORÇAMENTO - FORUM DE V. GRANDE" xfId="159" xr:uid="{00000000-0005-0000-0000-00009E000000}"/>
    <cellStyle name="60% - Ênfase6 3" xfId="160" xr:uid="{00000000-0005-0000-0000-00009F000000}"/>
    <cellStyle name="60% - Ênfase6 4" xfId="161" xr:uid="{00000000-0005-0000-0000-0000A0000000}"/>
    <cellStyle name="60% - Ênfase6 5" xfId="162" xr:uid="{00000000-0005-0000-0000-0000A1000000}"/>
    <cellStyle name="60% - Ênfase6 6" xfId="163" xr:uid="{00000000-0005-0000-0000-0000A2000000}"/>
    <cellStyle name="Accent1" xfId="164" xr:uid="{00000000-0005-0000-0000-0000A3000000}"/>
    <cellStyle name="Accent2" xfId="165" xr:uid="{00000000-0005-0000-0000-0000A4000000}"/>
    <cellStyle name="Accent3" xfId="166" xr:uid="{00000000-0005-0000-0000-0000A5000000}"/>
    <cellStyle name="Accent4" xfId="167" xr:uid="{00000000-0005-0000-0000-0000A6000000}"/>
    <cellStyle name="Accent5" xfId="168" xr:uid="{00000000-0005-0000-0000-0000A7000000}"/>
    <cellStyle name="Accent6" xfId="169" xr:uid="{00000000-0005-0000-0000-0000A8000000}"/>
    <cellStyle name="Bad" xfId="170" xr:uid="{00000000-0005-0000-0000-0000A9000000}"/>
    <cellStyle name="Bom 2" xfId="171" xr:uid="{00000000-0005-0000-0000-0000AA000000}"/>
    <cellStyle name="Bom 2 2" xfId="172" xr:uid="{00000000-0005-0000-0000-0000AB000000}"/>
    <cellStyle name="Bom 2 3" xfId="173" xr:uid="{00000000-0005-0000-0000-0000AC000000}"/>
    <cellStyle name="Bom 2_ORÇAMENTO - FORUM DE V. GRANDE" xfId="174" xr:uid="{00000000-0005-0000-0000-0000AD000000}"/>
    <cellStyle name="Bom 3" xfId="175" xr:uid="{00000000-0005-0000-0000-0000AE000000}"/>
    <cellStyle name="Bom 4" xfId="176" xr:uid="{00000000-0005-0000-0000-0000AF000000}"/>
    <cellStyle name="Bom 5" xfId="177" xr:uid="{00000000-0005-0000-0000-0000B0000000}"/>
    <cellStyle name="Bom 6" xfId="178" xr:uid="{00000000-0005-0000-0000-0000B1000000}"/>
    <cellStyle name="Calculation" xfId="179" xr:uid="{00000000-0005-0000-0000-0000B2000000}"/>
    <cellStyle name="Cálculo 2" xfId="180" xr:uid="{00000000-0005-0000-0000-0000B3000000}"/>
    <cellStyle name="Cálculo 2 2" xfId="181" xr:uid="{00000000-0005-0000-0000-0000B4000000}"/>
    <cellStyle name="Cálculo 2 3" xfId="182" xr:uid="{00000000-0005-0000-0000-0000B5000000}"/>
    <cellStyle name="Cálculo 2_CIVIL- BL 1-2-3-4-5-6-7-8 " xfId="183" xr:uid="{00000000-0005-0000-0000-0000B6000000}"/>
    <cellStyle name="Cálculo 3" xfId="184" xr:uid="{00000000-0005-0000-0000-0000B7000000}"/>
    <cellStyle name="Cálculo 4" xfId="185" xr:uid="{00000000-0005-0000-0000-0000B8000000}"/>
    <cellStyle name="Cálculo 5" xfId="186" xr:uid="{00000000-0005-0000-0000-0000B9000000}"/>
    <cellStyle name="Cálculo 6" xfId="187" xr:uid="{00000000-0005-0000-0000-0000BA000000}"/>
    <cellStyle name="Cancel" xfId="188" xr:uid="{00000000-0005-0000-0000-0000BB000000}"/>
    <cellStyle name="Célula de Verificação 2" xfId="189" xr:uid="{00000000-0005-0000-0000-0000BC000000}"/>
    <cellStyle name="Célula de Verificação 2 2" xfId="190" xr:uid="{00000000-0005-0000-0000-0000BD000000}"/>
    <cellStyle name="Célula de Verificação 2 3" xfId="191" xr:uid="{00000000-0005-0000-0000-0000BE000000}"/>
    <cellStyle name="Célula de Verificação 2_CIVIL- BL 1-2-3-4-5-6-7-8 " xfId="192" xr:uid="{00000000-0005-0000-0000-0000BF000000}"/>
    <cellStyle name="Célula de Verificação 3" xfId="193" xr:uid="{00000000-0005-0000-0000-0000C0000000}"/>
    <cellStyle name="Célula de Verificação 4" xfId="194" xr:uid="{00000000-0005-0000-0000-0000C1000000}"/>
    <cellStyle name="Célula de Verificação 5" xfId="195" xr:uid="{00000000-0005-0000-0000-0000C2000000}"/>
    <cellStyle name="Célula de Verificação 6" xfId="196" xr:uid="{00000000-0005-0000-0000-0000C3000000}"/>
    <cellStyle name="Célula Vinculada 2" xfId="197" xr:uid="{00000000-0005-0000-0000-0000C4000000}"/>
    <cellStyle name="Célula Vinculada 2 2" xfId="198" xr:uid="{00000000-0005-0000-0000-0000C5000000}"/>
    <cellStyle name="Célula Vinculada 2 3" xfId="199" xr:uid="{00000000-0005-0000-0000-0000C6000000}"/>
    <cellStyle name="Célula Vinculada 2_CIVIL- BL 1-2-3-4-5-6-7-8 " xfId="200" xr:uid="{00000000-0005-0000-0000-0000C7000000}"/>
    <cellStyle name="Célula Vinculada 3" xfId="201" xr:uid="{00000000-0005-0000-0000-0000C8000000}"/>
    <cellStyle name="Célula Vinculada 4" xfId="202" xr:uid="{00000000-0005-0000-0000-0000C9000000}"/>
    <cellStyle name="Célula Vinculada 5" xfId="203" xr:uid="{00000000-0005-0000-0000-0000CA000000}"/>
    <cellStyle name="Célula Vinculada 6" xfId="204" xr:uid="{00000000-0005-0000-0000-0000CB000000}"/>
    <cellStyle name="Comma0" xfId="205" xr:uid="{00000000-0005-0000-0000-0000CC000000}"/>
    <cellStyle name="Currency0" xfId="206" xr:uid="{00000000-0005-0000-0000-0000CD000000}"/>
    <cellStyle name="Ênfase1 2" xfId="207" xr:uid="{00000000-0005-0000-0000-0000CE000000}"/>
    <cellStyle name="Ênfase1 2 2" xfId="208" xr:uid="{00000000-0005-0000-0000-0000CF000000}"/>
    <cellStyle name="Ênfase1 2 3" xfId="209" xr:uid="{00000000-0005-0000-0000-0000D0000000}"/>
    <cellStyle name="Ênfase1 2_ORÇAMENTO - FORUM DE V. GRANDE" xfId="210" xr:uid="{00000000-0005-0000-0000-0000D1000000}"/>
    <cellStyle name="Ênfase1 3" xfId="211" xr:uid="{00000000-0005-0000-0000-0000D2000000}"/>
    <cellStyle name="Ênfase1 4" xfId="212" xr:uid="{00000000-0005-0000-0000-0000D3000000}"/>
    <cellStyle name="Ênfase1 5" xfId="213" xr:uid="{00000000-0005-0000-0000-0000D4000000}"/>
    <cellStyle name="Ênfase1 6" xfId="214" xr:uid="{00000000-0005-0000-0000-0000D5000000}"/>
    <cellStyle name="Ênfase2 2" xfId="215" xr:uid="{00000000-0005-0000-0000-0000D6000000}"/>
    <cellStyle name="Ênfase2 2 2" xfId="216" xr:uid="{00000000-0005-0000-0000-0000D7000000}"/>
    <cellStyle name="Ênfase2 2 3" xfId="217" xr:uid="{00000000-0005-0000-0000-0000D8000000}"/>
    <cellStyle name="Ênfase2 2_ORÇAMENTO - FORUM DE V. GRANDE" xfId="218" xr:uid="{00000000-0005-0000-0000-0000D9000000}"/>
    <cellStyle name="Ênfase2 3" xfId="219" xr:uid="{00000000-0005-0000-0000-0000DA000000}"/>
    <cellStyle name="Ênfase2 4" xfId="220" xr:uid="{00000000-0005-0000-0000-0000DB000000}"/>
    <cellStyle name="Ênfase2 5" xfId="221" xr:uid="{00000000-0005-0000-0000-0000DC000000}"/>
    <cellStyle name="Ênfase2 6" xfId="222" xr:uid="{00000000-0005-0000-0000-0000DD000000}"/>
    <cellStyle name="Ênfase3 2" xfId="223" xr:uid="{00000000-0005-0000-0000-0000DE000000}"/>
    <cellStyle name="Ênfase3 2 2" xfId="224" xr:uid="{00000000-0005-0000-0000-0000DF000000}"/>
    <cellStyle name="Ênfase3 2 3" xfId="225" xr:uid="{00000000-0005-0000-0000-0000E0000000}"/>
    <cellStyle name="Ênfase3 2_ORÇAMENTO - FORUM DE V. GRANDE" xfId="226" xr:uid="{00000000-0005-0000-0000-0000E1000000}"/>
    <cellStyle name="Ênfase3 3" xfId="227" xr:uid="{00000000-0005-0000-0000-0000E2000000}"/>
    <cellStyle name="Ênfase3 4" xfId="228" xr:uid="{00000000-0005-0000-0000-0000E3000000}"/>
    <cellStyle name="Ênfase3 5" xfId="229" xr:uid="{00000000-0005-0000-0000-0000E4000000}"/>
    <cellStyle name="Ênfase3 6" xfId="230" xr:uid="{00000000-0005-0000-0000-0000E5000000}"/>
    <cellStyle name="Ênfase4 2" xfId="231" xr:uid="{00000000-0005-0000-0000-0000E6000000}"/>
    <cellStyle name="Ênfase4 2 2" xfId="232" xr:uid="{00000000-0005-0000-0000-0000E7000000}"/>
    <cellStyle name="Ênfase4 2 3" xfId="233" xr:uid="{00000000-0005-0000-0000-0000E8000000}"/>
    <cellStyle name="Ênfase4 2_ORÇAMENTO - FORUM DE V. GRANDE" xfId="234" xr:uid="{00000000-0005-0000-0000-0000E9000000}"/>
    <cellStyle name="Ênfase4 3" xfId="235" xr:uid="{00000000-0005-0000-0000-0000EA000000}"/>
    <cellStyle name="Ênfase4 4" xfId="236" xr:uid="{00000000-0005-0000-0000-0000EB000000}"/>
    <cellStyle name="Ênfase4 5" xfId="237" xr:uid="{00000000-0005-0000-0000-0000EC000000}"/>
    <cellStyle name="Ênfase4 6" xfId="238" xr:uid="{00000000-0005-0000-0000-0000ED000000}"/>
    <cellStyle name="Ênfase5 2" xfId="239" xr:uid="{00000000-0005-0000-0000-0000EE000000}"/>
    <cellStyle name="Ênfase5 2 2" xfId="240" xr:uid="{00000000-0005-0000-0000-0000EF000000}"/>
    <cellStyle name="Ênfase5 2 3" xfId="241" xr:uid="{00000000-0005-0000-0000-0000F0000000}"/>
    <cellStyle name="Ênfase5 2_ORÇAMENTO - FORUM DE V. GRANDE" xfId="242" xr:uid="{00000000-0005-0000-0000-0000F1000000}"/>
    <cellStyle name="Ênfase5 3" xfId="243" xr:uid="{00000000-0005-0000-0000-0000F2000000}"/>
    <cellStyle name="Ênfase5 4" xfId="244" xr:uid="{00000000-0005-0000-0000-0000F3000000}"/>
    <cellStyle name="Ênfase5 5" xfId="245" xr:uid="{00000000-0005-0000-0000-0000F4000000}"/>
    <cellStyle name="Ênfase5 6" xfId="246" xr:uid="{00000000-0005-0000-0000-0000F5000000}"/>
    <cellStyle name="Ênfase6 2" xfId="247" xr:uid="{00000000-0005-0000-0000-0000F6000000}"/>
    <cellStyle name="Ênfase6 2 2" xfId="248" xr:uid="{00000000-0005-0000-0000-0000F7000000}"/>
    <cellStyle name="Ênfase6 2 3" xfId="249" xr:uid="{00000000-0005-0000-0000-0000F8000000}"/>
    <cellStyle name="Ênfase6 2_ORÇAMENTO - FORUM DE V. GRANDE" xfId="250" xr:uid="{00000000-0005-0000-0000-0000F9000000}"/>
    <cellStyle name="Ênfase6 3" xfId="251" xr:uid="{00000000-0005-0000-0000-0000FA000000}"/>
    <cellStyle name="Ênfase6 4" xfId="252" xr:uid="{00000000-0005-0000-0000-0000FB000000}"/>
    <cellStyle name="Ênfase6 5" xfId="253" xr:uid="{00000000-0005-0000-0000-0000FC000000}"/>
    <cellStyle name="Ênfase6 6" xfId="254" xr:uid="{00000000-0005-0000-0000-0000FD000000}"/>
    <cellStyle name="Entrada 2" xfId="255" xr:uid="{00000000-0005-0000-0000-0000FE000000}"/>
    <cellStyle name="Entrada 2 2" xfId="256" xr:uid="{00000000-0005-0000-0000-0000FF000000}"/>
    <cellStyle name="Entrada 2 3" xfId="257" xr:uid="{00000000-0005-0000-0000-000000010000}"/>
    <cellStyle name="Entrada 2_CIVIL- BL 1-2-3-4-5-6-7-8 " xfId="258" xr:uid="{00000000-0005-0000-0000-000001010000}"/>
    <cellStyle name="Entrada 3" xfId="259" xr:uid="{00000000-0005-0000-0000-000002010000}"/>
    <cellStyle name="Entrada 4" xfId="260" xr:uid="{00000000-0005-0000-0000-000003010000}"/>
    <cellStyle name="Entrada 5" xfId="261" xr:uid="{00000000-0005-0000-0000-000004010000}"/>
    <cellStyle name="Entrada 6" xfId="262" xr:uid="{00000000-0005-0000-0000-000005010000}"/>
    <cellStyle name="Estilo 1" xfId="263" xr:uid="{00000000-0005-0000-0000-000006010000}"/>
    <cellStyle name="Euro" xfId="264" xr:uid="{00000000-0005-0000-0000-000007010000}"/>
    <cellStyle name="Euro 2" xfId="265" xr:uid="{00000000-0005-0000-0000-000008010000}"/>
    <cellStyle name="Euro 2 2" xfId="266" xr:uid="{00000000-0005-0000-0000-000009010000}"/>
    <cellStyle name="Euro 3" xfId="267" xr:uid="{00000000-0005-0000-0000-00000A010000}"/>
    <cellStyle name="Excel Built-in Normal" xfId="268" xr:uid="{00000000-0005-0000-0000-00000B010000}"/>
    <cellStyle name="Excel Built-in Normal 1 1" xfId="269" xr:uid="{00000000-0005-0000-0000-00000C010000}"/>
    <cellStyle name="Excel Built-in Normal 10 3" xfId="270" xr:uid="{00000000-0005-0000-0000-00000D010000}"/>
    <cellStyle name="Excel Built-in Vírgula 6" xfId="271" xr:uid="{00000000-0005-0000-0000-00000E010000}"/>
    <cellStyle name="Explanatory Text" xfId="272" xr:uid="{00000000-0005-0000-0000-00000F010000}"/>
    <cellStyle name="Heading 1" xfId="273" xr:uid="{00000000-0005-0000-0000-000010010000}"/>
    <cellStyle name="Heading 2" xfId="274" xr:uid="{00000000-0005-0000-0000-000011010000}"/>
    <cellStyle name="Heading 3" xfId="275" xr:uid="{00000000-0005-0000-0000-000012010000}"/>
    <cellStyle name="Heading 4" xfId="276" xr:uid="{00000000-0005-0000-0000-000013010000}"/>
    <cellStyle name="Hiperlink" xfId="277" builtinId="8"/>
    <cellStyle name="Hiperlink 2" xfId="278" xr:uid="{00000000-0005-0000-0000-000015010000}"/>
    <cellStyle name="Hyperlink 2" xfId="279" xr:uid="{00000000-0005-0000-0000-000016010000}"/>
    <cellStyle name="Incorreto 2" xfId="280" xr:uid="{00000000-0005-0000-0000-000017010000}"/>
    <cellStyle name="Incorreto 2 2" xfId="281" xr:uid="{00000000-0005-0000-0000-000018010000}"/>
    <cellStyle name="Incorreto 2 3" xfId="282" xr:uid="{00000000-0005-0000-0000-000019010000}"/>
    <cellStyle name="Incorreto 2_ORÇAMENTO - FORUM DE V. GRANDE" xfId="283" xr:uid="{00000000-0005-0000-0000-00001A010000}"/>
    <cellStyle name="Incorreto 3" xfId="284" xr:uid="{00000000-0005-0000-0000-00001B010000}"/>
    <cellStyle name="Incorreto 4" xfId="285" xr:uid="{00000000-0005-0000-0000-00001C010000}"/>
    <cellStyle name="Incorreto 5" xfId="286" xr:uid="{00000000-0005-0000-0000-00001D010000}"/>
    <cellStyle name="Incorreto 6" xfId="287" xr:uid="{00000000-0005-0000-0000-00001E010000}"/>
    <cellStyle name="Moeda" xfId="288" builtinId="4"/>
    <cellStyle name="Moeda 10" xfId="289" xr:uid="{00000000-0005-0000-0000-000020010000}"/>
    <cellStyle name="Moeda 2" xfId="290" xr:uid="{00000000-0005-0000-0000-000021010000}"/>
    <cellStyle name="Moeda 2 2" xfId="291" xr:uid="{00000000-0005-0000-0000-000022010000}"/>
    <cellStyle name="Moeda 2 3" xfId="292" xr:uid="{00000000-0005-0000-0000-000023010000}"/>
    <cellStyle name="Moeda 2_ORÇAMENTO - FORUM DE V. GRANDE" xfId="293" xr:uid="{00000000-0005-0000-0000-000024010000}"/>
    <cellStyle name="Moeda 24" xfId="294" xr:uid="{00000000-0005-0000-0000-000025010000}"/>
    <cellStyle name="Moeda 3" xfId="295" xr:uid="{00000000-0005-0000-0000-000026010000}"/>
    <cellStyle name="Moeda 4" xfId="296" xr:uid="{00000000-0005-0000-0000-000027010000}"/>
    <cellStyle name="Moeda 5" xfId="297" xr:uid="{00000000-0005-0000-0000-000028010000}"/>
    <cellStyle name="Moeda 6" xfId="298" xr:uid="{00000000-0005-0000-0000-000029010000}"/>
    <cellStyle name="Moeda 7" xfId="299" xr:uid="{00000000-0005-0000-0000-00002A010000}"/>
    <cellStyle name="Moeda 8" xfId="300" xr:uid="{00000000-0005-0000-0000-00002B010000}"/>
    <cellStyle name="Moeda 9" xfId="301" xr:uid="{00000000-0005-0000-0000-00002C010000}"/>
    <cellStyle name="Neutra 2" xfId="302" xr:uid="{00000000-0005-0000-0000-00002D010000}"/>
    <cellStyle name="Neutra 2 2" xfId="303" xr:uid="{00000000-0005-0000-0000-00002E010000}"/>
    <cellStyle name="Neutra 2 3" xfId="304" xr:uid="{00000000-0005-0000-0000-00002F010000}"/>
    <cellStyle name="Neutra 2_ORÇAMENTO - FORUM DE V. GRANDE" xfId="305" xr:uid="{00000000-0005-0000-0000-000030010000}"/>
    <cellStyle name="Neutra 3" xfId="306" xr:uid="{00000000-0005-0000-0000-000031010000}"/>
    <cellStyle name="Neutra 4" xfId="307" xr:uid="{00000000-0005-0000-0000-000032010000}"/>
    <cellStyle name="Neutra 5" xfId="308" xr:uid="{00000000-0005-0000-0000-000033010000}"/>
    <cellStyle name="Neutra 6" xfId="309" xr:uid="{00000000-0005-0000-0000-000034010000}"/>
    <cellStyle name="Normal" xfId="0" builtinId="0"/>
    <cellStyle name="Normal 10" xfId="310" xr:uid="{00000000-0005-0000-0000-000036010000}"/>
    <cellStyle name="Normal 10 2" xfId="311" xr:uid="{00000000-0005-0000-0000-000037010000}"/>
    <cellStyle name="Normal 10_Compo-Civil" xfId="312" xr:uid="{00000000-0005-0000-0000-000038010000}"/>
    <cellStyle name="Normal 11" xfId="313" xr:uid="{00000000-0005-0000-0000-000039010000}"/>
    <cellStyle name="Normal 11 2" xfId="314" xr:uid="{00000000-0005-0000-0000-00003A010000}"/>
    <cellStyle name="Normal 11_Compo-Civil" xfId="315" xr:uid="{00000000-0005-0000-0000-00003B010000}"/>
    <cellStyle name="Normal 12" xfId="316" xr:uid="{00000000-0005-0000-0000-00003C010000}"/>
    <cellStyle name="Normal 12 2" xfId="317" xr:uid="{00000000-0005-0000-0000-00003D010000}"/>
    <cellStyle name="Normal 12_Compo-Civil" xfId="318" xr:uid="{00000000-0005-0000-0000-00003E010000}"/>
    <cellStyle name="Normal 13" xfId="319" xr:uid="{00000000-0005-0000-0000-00003F010000}"/>
    <cellStyle name="Normal 13 2" xfId="320" xr:uid="{00000000-0005-0000-0000-000040010000}"/>
    <cellStyle name="Normal 13 2 2" xfId="321" xr:uid="{00000000-0005-0000-0000-000041010000}"/>
    <cellStyle name="Normal 13 2 3" xfId="322" xr:uid="{00000000-0005-0000-0000-000042010000}"/>
    <cellStyle name="Normal 13 2_Compo-Civil" xfId="323" xr:uid="{00000000-0005-0000-0000-000043010000}"/>
    <cellStyle name="Normal 13 3" xfId="324" xr:uid="{00000000-0005-0000-0000-000044010000}"/>
    <cellStyle name="Normal 13 4" xfId="325" xr:uid="{00000000-0005-0000-0000-000045010000}"/>
    <cellStyle name="Normal 13_Compo-Civil" xfId="326" xr:uid="{00000000-0005-0000-0000-000046010000}"/>
    <cellStyle name="Normal 14" xfId="327" xr:uid="{00000000-0005-0000-0000-000047010000}"/>
    <cellStyle name="Normal 14 2" xfId="328" xr:uid="{00000000-0005-0000-0000-000048010000}"/>
    <cellStyle name="Normal 14_Compo-Civil" xfId="329" xr:uid="{00000000-0005-0000-0000-000049010000}"/>
    <cellStyle name="Normal 15" xfId="330" xr:uid="{00000000-0005-0000-0000-00004A010000}"/>
    <cellStyle name="Normal 15 2" xfId="331" xr:uid="{00000000-0005-0000-0000-00004B010000}"/>
    <cellStyle name="Normal 15 2 2" xfId="332" xr:uid="{00000000-0005-0000-0000-00004C010000}"/>
    <cellStyle name="Normal 15 2 3" xfId="333" xr:uid="{00000000-0005-0000-0000-00004D010000}"/>
    <cellStyle name="Normal 15 2_Compo-Civil" xfId="334" xr:uid="{00000000-0005-0000-0000-00004E010000}"/>
    <cellStyle name="Normal 15 3" xfId="335" xr:uid="{00000000-0005-0000-0000-00004F010000}"/>
    <cellStyle name="Normal 15 4" xfId="336" xr:uid="{00000000-0005-0000-0000-000050010000}"/>
    <cellStyle name="Normal 15_Compo-Civil" xfId="337" xr:uid="{00000000-0005-0000-0000-000051010000}"/>
    <cellStyle name="Normal 16" xfId="338" xr:uid="{00000000-0005-0000-0000-000052010000}"/>
    <cellStyle name="Normal 16 2" xfId="339" xr:uid="{00000000-0005-0000-0000-000053010000}"/>
    <cellStyle name="Normal 16 2 2" xfId="340" xr:uid="{00000000-0005-0000-0000-000054010000}"/>
    <cellStyle name="Normal 16 2 3" xfId="341" xr:uid="{00000000-0005-0000-0000-000055010000}"/>
    <cellStyle name="Normal 16 2_Compo-Civil" xfId="342" xr:uid="{00000000-0005-0000-0000-000056010000}"/>
    <cellStyle name="Normal 16 3" xfId="343" xr:uid="{00000000-0005-0000-0000-000057010000}"/>
    <cellStyle name="Normal 16 4" xfId="344" xr:uid="{00000000-0005-0000-0000-000058010000}"/>
    <cellStyle name="Normal 16_Compo-Civil" xfId="345" xr:uid="{00000000-0005-0000-0000-000059010000}"/>
    <cellStyle name="Normal 17" xfId="346" xr:uid="{00000000-0005-0000-0000-00005A010000}"/>
    <cellStyle name="Normal 17 2" xfId="347" xr:uid="{00000000-0005-0000-0000-00005B010000}"/>
    <cellStyle name="Normal 17_Compo-Civil" xfId="348" xr:uid="{00000000-0005-0000-0000-00005C010000}"/>
    <cellStyle name="Normal 18" xfId="349" xr:uid="{00000000-0005-0000-0000-00005D010000}"/>
    <cellStyle name="Normal 18 2" xfId="350" xr:uid="{00000000-0005-0000-0000-00005E010000}"/>
    <cellStyle name="Normal 18_Compo-Civil" xfId="351" xr:uid="{00000000-0005-0000-0000-00005F010000}"/>
    <cellStyle name="Normal 19" xfId="352" xr:uid="{00000000-0005-0000-0000-000060010000}"/>
    <cellStyle name="Normal 19 2" xfId="353" xr:uid="{00000000-0005-0000-0000-000061010000}"/>
    <cellStyle name="Normal 19_Compo-Civil" xfId="354" xr:uid="{00000000-0005-0000-0000-000062010000}"/>
    <cellStyle name="Normal 2" xfId="355" xr:uid="{00000000-0005-0000-0000-000063010000}"/>
    <cellStyle name="Normal 2 10" xfId="356" xr:uid="{00000000-0005-0000-0000-000064010000}"/>
    <cellStyle name="Normal 2 2" xfId="357" xr:uid="{00000000-0005-0000-0000-000065010000}"/>
    <cellStyle name="Normal 2 2 2" xfId="358" xr:uid="{00000000-0005-0000-0000-000066010000}"/>
    <cellStyle name="Normal 2 2 2 2" xfId="359" xr:uid="{00000000-0005-0000-0000-000067010000}"/>
    <cellStyle name="Normal 2 2 2_ORÇAMENTO - FORUM DE V. GRANDE" xfId="360" xr:uid="{00000000-0005-0000-0000-000068010000}"/>
    <cellStyle name="Normal 2 2_Compo-Civil" xfId="361" xr:uid="{00000000-0005-0000-0000-000069010000}"/>
    <cellStyle name="Normal 2 3" xfId="362" xr:uid="{00000000-0005-0000-0000-00006A010000}"/>
    <cellStyle name="Normal 2 4" xfId="363" xr:uid="{00000000-0005-0000-0000-00006B010000}"/>
    <cellStyle name="Normal 2 5" xfId="364" xr:uid="{00000000-0005-0000-0000-00006C010000}"/>
    <cellStyle name="Normal 2 6" xfId="365" xr:uid="{00000000-0005-0000-0000-00006D010000}"/>
    <cellStyle name="Normal 2 7" xfId="366" xr:uid="{00000000-0005-0000-0000-00006E010000}"/>
    <cellStyle name="Normal 2 8" xfId="367" xr:uid="{00000000-0005-0000-0000-00006F010000}"/>
    <cellStyle name="Normal 2 9" xfId="368" xr:uid="{00000000-0005-0000-0000-000070010000}"/>
    <cellStyle name="Normal 20" xfId="369" xr:uid="{00000000-0005-0000-0000-000071010000}"/>
    <cellStyle name="Normal 20 2" xfId="370" xr:uid="{00000000-0005-0000-0000-000072010000}"/>
    <cellStyle name="Normal 20_Compo-Civil" xfId="371" xr:uid="{00000000-0005-0000-0000-000073010000}"/>
    <cellStyle name="Normal 21" xfId="372" xr:uid="{00000000-0005-0000-0000-000074010000}"/>
    <cellStyle name="Normal 21 2" xfId="373" xr:uid="{00000000-0005-0000-0000-000075010000}"/>
    <cellStyle name="Normal 21 3" xfId="374" xr:uid="{00000000-0005-0000-0000-000076010000}"/>
    <cellStyle name="Normal 21 4" xfId="375" xr:uid="{00000000-0005-0000-0000-000077010000}"/>
    <cellStyle name="Normal 21_Compo-Civil" xfId="376" xr:uid="{00000000-0005-0000-0000-000078010000}"/>
    <cellStyle name="Normal 22" xfId="377" xr:uid="{00000000-0005-0000-0000-000079010000}"/>
    <cellStyle name="Normal 22 2" xfId="378" xr:uid="{00000000-0005-0000-0000-00007A010000}"/>
    <cellStyle name="Normal 22_Compo-Civil" xfId="379" xr:uid="{00000000-0005-0000-0000-00007B010000}"/>
    <cellStyle name="Normal 23" xfId="380" xr:uid="{00000000-0005-0000-0000-00007C010000}"/>
    <cellStyle name="Normal 23 2" xfId="381" xr:uid="{00000000-0005-0000-0000-00007D010000}"/>
    <cellStyle name="Normal 23_Compo-Civil" xfId="382" xr:uid="{00000000-0005-0000-0000-00007E010000}"/>
    <cellStyle name="Normal 24" xfId="383" xr:uid="{00000000-0005-0000-0000-00007F010000}"/>
    <cellStyle name="Normal 24 2" xfId="384" xr:uid="{00000000-0005-0000-0000-000080010000}"/>
    <cellStyle name="Normal 24_Compo-Civil" xfId="385" xr:uid="{00000000-0005-0000-0000-000081010000}"/>
    <cellStyle name="Normal 25" xfId="386" xr:uid="{00000000-0005-0000-0000-000082010000}"/>
    <cellStyle name="Normal 25 2" xfId="387" xr:uid="{00000000-0005-0000-0000-000083010000}"/>
    <cellStyle name="Normal 25_Compo-Civil" xfId="388" xr:uid="{00000000-0005-0000-0000-000084010000}"/>
    <cellStyle name="Normal 26" xfId="389" xr:uid="{00000000-0005-0000-0000-000085010000}"/>
    <cellStyle name="Normal 26 2" xfId="390" xr:uid="{00000000-0005-0000-0000-000086010000}"/>
    <cellStyle name="Normal 26_Compo-Civil" xfId="391" xr:uid="{00000000-0005-0000-0000-000087010000}"/>
    <cellStyle name="Normal 27" xfId="392" xr:uid="{00000000-0005-0000-0000-000088010000}"/>
    <cellStyle name="Normal 27 2" xfId="393" xr:uid="{00000000-0005-0000-0000-000089010000}"/>
    <cellStyle name="Normal 27_Compo-Civil" xfId="394" xr:uid="{00000000-0005-0000-0000-00008A010000}"/>
    <cellStyle name="Normal 28" xfId="395" xr:uid="{00000000-0005-0000-0000-00008B010000}"/>
    <cellStyle name="Normal 28 2" xfId="396" xr:uid="{00000000-0005-0000-0000-00008C010000}"/>
    <cellStyle name="Normal 28_Compo-Civil" xfId="397" xr:uid="{00000000-0005-0000-0000-00008D010000}"/>
    <cellStyle name="Normal 29" xfId="398" xr:uid="{00000000-0005-0000-0000-00008E010000}"/>
    <cellStyle name="Normal 3 2" xfId="399" xr:uid="{00000000-0005-0000-0000-00008F010000}"/>
    <cellStyle name="Normal 3 3" xfId="400" xr:uid="{00000000-0005-0000-0000-000090010000}"/>
    <cellStyle name="Normal 3 4" xfId="401" xr:uid="{00000000-0005-0000-0000-000091010000}"/>
    <cellStyle name="Normal 30" xfId="402" xr:uid="{00000000-0005-0000-0000-000092010000}"/>
    <cellStyle name="Normal 31" xfId="403" xr:uid="{00000000-0005-0000-0000-000093010000}"/>
    <cellStyle name="Normal 32" xfId="404" xr:uid="{00000000-0005-0000-0000-000094010000}"/>
    <cellStyle name="Normal 33" xfId="405" xr:uid="{00000000-0005-0000-0000-000095010000}"/>
    <cellStyle name="Normal 34" xfId="406" xr:uid="{00000000-0005-0000-0000-000096010000}"/>
    <cellStyle name="Normal 35" xfId="407" xr:uid="{00000000-0005-0000-0000-000097010000}"/>
    <cellStyle name="Normal 36" xfId="408" xr:uid="{00000000-0005-0000-0000-000098010000}"/>
    <cellStyle name="Normal 37" xfId="409" xr:uid="{00000000-0005-0000-0000-000099010000}"/>
    <cellStyle name="Normal 38" xfId="410" xr:uid="{00000000-0005-0000-0000-00009A010000}"/>
    <cellStyle name="Normal 39" xfId="411" xr:uid="{00000000-0005-0000-0000-00009B010000}"/>
    <cellStyle name="Normal 4 10" xfId="412" xr:uid="{00000000-0005-0000-0000-00009C010000}"/>
    <cellStyle name="Normal 4 2" xfId="413" xr:uid="{00000000-0005-0000-0000-00009D010000}"/>
    <cellStyle name="Normal 4 2 2" xfId="414" xr:uid="{00000000-0005-0000-0000-00009E010000}"/>
    <cellStyle name="Normal 4 2 3" xfId="415" xr:uid="{00000000-0005-0000-0000-00009F010000}"/>
    <cellStyle name="Normal 4 2_Compo-Civil" xfId="416" xr:uid="{00000000-0005-0000-0000-0000A0010000}"/>
    <cellStyle name="Normal 4 3" xfId="417" xr:uid="{00000000-0005-0000-0000-0000A1010000}"/>
    <cellStyle name="Normal 4 4" xfId="418" xr:uid="{00000000-0005-0000-0000-0000A2010000}"/>
    <cellStyle name="Normal 4 5" xfId="419" xr:uid="{00000000-0005-0000-0000-0000A3010000}"/>
    <cellStyle name="Normal 4 6" xfId="420" xr:uid="{00000000-0005-0000-0000-0000A4010000}"/>
    <cellStyle name="Normal 4 7" xfId="421" xr:uid="{00000000-0005-0000-0000-0000A5010000}"/>
    <cellStyle name="Normal 4 8" xfId="422" xr:uid="{00000000-0005-0000-0000-0000A6010000}"/>
    <cellStyle name="Normal 4 9" xfId="423" xr:uid="{00000000-0005-0000-0000-0000A7010000}"/>
    <cellStyle name="Normal 4_ORÇAMENTO" xfId="424" xr:uid="{00000000-0005-0000-0000-0000A8010000}"/>
    <cellStyle name="Normal 40" xfId="425" xr:uid="{00000000-0005-0000-0000-0000A9010000}"/>
    <cellStyle name="Normal 41" xfId="426" xr:uid="{00000000-0005-0000-0000-0000AA010000}"/>
    <cellStyle name="Normal 42" xfId="427" xr:uid="{00000000-0005-0000-0000-0000AB010000}"/>
    <cellStyle name="Normal 43" xfId="428" xr:uid="{00000000-0005-0000-0000-0000AC010000}"/>
    <cellStyle name="Normal 44" xfId="429" xr:uid="{00000000-0005-0000-0000-0000AD010000}"/>
    <cellStyle name="Normal 45" xfId="430" xr:uid="{00000000-0005-0000-0000-0000AE010000}"/>
    <cellStyle name="Normal 46" xfId="431" xr:uid="{00000000-0005-0000-0000-0000AF010000}"/>
    <cellStyle name="Normal 47" xfId="432" xr:uid="{00000000-0005-0000-0000-0000B0010000}"/>
    <cellStyle name="Normal 48" xfId="433" xr:uid="{00000000-0005-0000-0000-0000B1010000}"/>
    <cellStyle name="Normal 49" xfId="434" xr:uid="{00000000-0005-0000-0000-0000B2010000}"/>
    <cellStyle name="Normal 5" xfId="435" xr:uid="{00000000-0005-0000-0000-0000B3010000}"/>
    <cellStyle name="Normal 5 2" xfId="436" xr:uid="{00000000-0005-0000-0000-0000B4010000}"/>
    <cellStyle name="Normal 5 3" xfId="437" xr:uid="{00000000-0005-0000-0000-0000B5010000}"/>
    <cellStyle name="Normal 5 4" xfId="438" xr:uid="{00000000-0005-0000-0000-0000B6010000}"/>
    <cellStyle name="Normal 5_Compo-Civil" xfId="439" xr:uid="{00000000-0005-0000-0000-0000B7010000}"/>
    <cellStyle name="Normal 50" xfId="440" xr:uid="{00000000-0005-0000-0000-0000B8010000}"/>
    <cellStyle name="Normal 51" xfId="441" xr:uid="{00000000-0005-0000-0000-0000B9010000}"/>
    <cellStyle name="Normal 52" xfId="442" xr:uid="{00000000-0005-0000-0000-0000BA010000}"/>
    <cellStyle name="Normal 53" xfId="443" xr:uid="{00000000-0005-0000-0000-0000BB010000}"/>
    <cellStyle name="Normal 54" xfId="444" xr:uid="{00000000-0005-0000-0000-0000BC010000}"/>
    <cellStyle name="Normal 55" xfId="445" xr:uid="{00000000-0005-0000-0000-0000BD010000}"/>
    <cellStyle name="Normal 56" xfId="446" xr:uid="{00000000-0005-0000-0000-0000BE010000}"/>
    <cellStyle name="Normal 57" xfId="447" xr:uid="{00000000-0005-0000-0000-0000BF010000}"/>
    <cellStyle name="Normal 58" xfId="448" xr:uid="{00000000-0005-0000-0000-0000C0010000}"/>
    <cellStyle name="Normal 59" xfId="449" xr:uid="{00000000-0005-0000-0000-0000C1010000}"/>
    <cellStyle name="Normal 6" xfId="450" xr:uid="{00000000-0005-0000-0000-0000C2010000}"/>
    <cellStyle name="Normal 6 2" xfId="451" xr:uid="{00000000-0005-0000-0000-0000C3010000}"/>
    <cellStyle name="Normal 6_Compo-Civil" xfId="452" xr:uid="{00000000-0005-0000-0000-0000C4010000}"/>
    <cellStyle name="Normal 60" xfId="453" xr:uid="{00000000-0005-0000-0000-0000C5010000}"/>
    <cellStyle name="Normal 61" xfId="454" xr:uid="{00000000-0005-0000-0000-0000C6010000}"/>
    <cellStyle name="Normal 62" xfId="455" xr:uid="{00000000-0005-0000-0000-0000C7010000}"/>
    <cellStyle name="Normal 63" xfId="456" xr:uid="{00000000-0005-0000-0000-0000C8010000}"/>
    <cellStyle name="Normal 64" xfId="457" xr:uid="{00000000-0005-0000-0000-0000C9010000}"/>
    <cellStyle name="Normal 65" xfId="458" xr:uid="{00000000-0005-0000-0000-0000CA010000}"/>
    <cellStyle name="Normal 66" xfId="459" xr:uid="{00000000-0005-0000-0000-0000CB010000}"/>
    <cellStyle name="Normal 67" xfId="460" xr:uid="{00000000-0005-0000-0000-0000CC010000}"/>
    <cellStyle name="Normal 68" xfId="461" xr:uid="{00000000-0005-0000-0000-0000CD010000}"/>
    <cellStyle name="Normal 69" xfId="462" xr:uid="{00000000-0005-0000-0000-0000CE010000}"/>
    <cellStyle name="Normal 7" xfId="463" xr:uid="{00000000-0005-0000-0000-0000CF010000}"/>
    <cellStyle name="Normal 7 2" xfId="464" xr:uid="{00000000-0005-0000-0000-0000D0010000}"/>
    <cellStyle name="Normal 7_Compo-Civil" xfId="465" xr:uid="{00000000-0005-0000-0000-0000D1010000}"/>
    <cellStyle name="Normal 70" xfId="466" xr:uid="{00000000-0005-0000-0000-0000D2010000}"/>
    <cellStyle name="Normal 71" xfId="467" xr:uid="{00000000-0005-0000-0000-0000D3010000}"/>
    <cellStyle name="Normal 72" xfId="468" xr:uid="{00000000-0005-0000-0000-0000D4010000}"/>
    <cellStyle name="Normal 73" xfId="469" xr:uid="{00000000-0005-0000-0000-0000D5010000}"/>
    <cellStyle name="Normal 74" xfId="470" xr:uid="{00000000-0005-0000-0000-0000D6010000}"/>
    <cellStyle name="Normal 75" xfId="471" xr:uid="{00000000-0005-0000-0000-0000D7010000}"/>
    <cellStyle name="Normal 76" xfId="472" xr:uid="{00000000-0005-0000-0000-0000D8010000}"/>
    <cellStyle name="Normal 77" xfId="473" xr:uid="{00000000-0005-0000-0000-0000D9010000}"/>
    <cellStyle name="Normal 78" xfId="474" xr:uid="{00000000-0005-0000-0000-0000DA010000}"/>
    <cellStyle name="Normal 79" xfId="475" xr:uid="{00000000-0005-0000-0000-0000DB010000}"/>
    <cellStyle name="Normal 8" xfId="476" xr:uid="{00000000-0005-0000-0000-0000DC010000}"/>
    <cellStyle name="Normal 8 2" xfId="477" xr:uid="{00000000-0005-0000-0000-0000DD010000}"/>
    <cellStyle name="Normal 8 3" xfId="478" xr:uid="{00000000-0005-0000-0000-0000DE010000}"/>
    <cellStyle name="Normal 8 4" xfId="479" xr:uid="{00000000-0005-0000-0000-0000DF010000}"/>
    <cellStyle name="Normal 8_Compo-Civil" xfId="480" xr:uid="{00000000-0005-0000-0000-0000E0010000}"/>
    <cellStyle name="Normal 80" xfId="481" xr:uid="{00000000-0005-0000-0000-0000E1010000}"/>
    <cellStyle name="Normal 81" xfId="482" xr:uid="{00000000-0005-0000-0000-0000E2010000}"/>
    <cellStyle name="Normal 82" xfId="483" xr:uid="{00000000-0005-0000-0000-0000E3010000}"/>
    <cellStyle name="Normal 83" xfId="484" xr:uid="{00000000-0005-0000-0000-0000E4010000}"/>
    <cellStyle name="Normal 84" xfId="485" xr:uid="{00000000-0005-0000-0000-0000E5010000}"/>
    <cellStyle name="Normal 85" xfId="486" xr:uid="{00000000-0005-0000-0000-0000E6010000}"/>
    <cellStyle name="Normal 86" xfId="487" xr:uid="{00000000-0005-0000-0000-0000E7010000}"/>
    <cellStyle name="Normal 87" xfId="488" xr:uid="{00000000-0005-0000-0000-0000E8010000}"/>
    <cellStyle name="Normal 88" xfId="489" xr:uid="{00000000-0005-0000-0000-0000E9010000}"/>
    <cellStyle name="Normal 89" xfId="490" xr:uid="{00000000-0005-0000-0000-0000EA010000}"/>
    <cellStyle name="Normal 9" xfId="491" xr:uid="{00000000-0005-0000-0000-0000EB010000}"/>
    <cellStyle name="Normal 9 2" xfId="492" xr:uid="{00000000-0005-0000-0000-0000EC010000}"/>
    <cellStyle name="Normal 9_Compo-Civil" xfId="493" xr:uid="{00000000-0005-0000-0000-0000ED010000}"/>
    <cellStyle name="Normal 90" xfId="494" xr:uid="{00000000-0005-0000-0000-0000EE010000}"/>
    <cellStyle name="Normal 91" xfId="495" xr:uid="{00000000-0005-0000-0000-0000EF010000}"/>
    <cellStyle name="Normal_5ª Medição 199" xfId="496" xr:uid="{00000000-0005-0000-0000-0000F0010000}"/>
    <cellStyle name="Normal_Geral" xfId="497" xr:uid="{00000000-0005-0000-0000-0000F1010000}"/>
    <cellStyle name="Normal_Mirassol" xfId="498" xr:uid="{00000000-0005-0000-0000-0000F2010000}"/>
    <cellStyle name="Normal_ORÇAMENTOS TRAVESSIAS" xfId="499" xr:uid="{00000000-0005-0000-0000-0000F3010000}"/>
    <cellStyle name="Normal_rol-rua2" xfId="500" xr:uid="{00000000-0005-0000-0000-0000F4010000}"/>
    <cellStyle name="Nota 10" xfId="501" xr:uid="{00000000-0005-0000-0000-0000F5010000}"/>
    <cellStyle name="Nota 10 2" xfId="502" xr:uid="{00000000-0005-0000-0000-0000F6010000}"/>
    <cellStyle name="Nota 11" xfId="503" xr:uid="{00000000-0005-0000-0000-0000F7010000}"/>
    <cellStyle name="Nota 11 2" xfId="504" xr:uid="{00000000-0005-0000-0000-0000F8010000}"/>
    <cellStyle name="Nota 12" xfId="505" xr:uid="{00000000-0005-0000-0000-0000F9010000}"/>
    <cellStyle name="Nota 12 2" xfId="506" xr:uid="{00000000-0005-0000-0000-0000FA010000}"/>
    <cellStyle name="Nota 13" xfId="507" xr:uid="{00000000-0005-0000-0000-0000FB010000}"/>
    <cellStyle name="Nota 13 2" xfId="508" xr:uid="{00000000-0005-0000-0000-0000FC010000}"/>
    <cellStyle name="Nota 14" xfId="509" xr:uid="{00000000-0005-0000-0000-0000FD010000}"/>
    <cellStyle name="Nota 14 2" xfId="510" xr:uid="{00000000-0005-0000-0000-0000FE010000}"/>
    <cellStyle name="Nota 15" xfId="511" xr:uid="{00000000-0005-0000-0000-0000FF010000}"/>
    <cellStyle name="Nota 15 2" xfId="512" xr:uid="{00000000-0005-0000-0000-000000020000}"/>
    <cellStyle name="Nota 16" xfId="513" xr:uid="{00000000-0005-0000-0000-000001020000}"/>
    <cellStyle name="Nota 16 2" xfId="514" xr:uid="{00000000-0005-0000-0000-000002020000}"/>
    <cellStyle name="Nota 17" xfId="515" xr:uid="{00000000-0005-0000-0000-000003020000}"/>
    <cellStyle name="Nota 17 2" xfId="516" xr:uid="{00000000-0005-0000-0000-000004020000}"/>
    <cellStyle name="Nota 18" xfId="517" xr:uid="{00000000-0005-0000-0000-000005020000}"/>
    <cellStyle name="Nota 18 2" xfId="518" xr:uid="{00000000-0005-0000-0000-000006020000}"/>
    <cellStyle name="Nota 19" xfId="519" xr:uid="{00000000-0005-0000-0000-000007020000}"/>
    <cellStyle name="Nota 19 2" xfId="520" xr:uid="{00000000-0005-0000-0000-000008020000}"/>
    <cellStyle name="Nota 2" xfId="521" xr:uid="{00000000-0005-0000-0000-000009020000}"/>
    <cellStyle name="Nota 2 2" xfId="522" xr:uid="{00000000-0005-0000-0000-00000A020000}"/>
    <cellStyle name="Nota 2 3" xfId="523" xr:uid="{00000000-0005-0000-0000-00000B020000}"/>
    <cellStyle name="Nota 2 4" xfId="524" xr:uid="{00000000-0005-0000-0000-00000C020000}"/>
    <cellStyle name="Nota 2_CIVIL- BL 1-2-3-4-5-6-7-8 " xfId="525" xr:uid="{00000000-0005-0000-0000-00000D020000}"/>
    <cellStyle name="Nota 20" xfId="526" xr:uid="{00000000-0005-0000-0000-00000E020000}"/>
    <cellStyle name="Nota 20 2" xfId="527" xr:uid="{00000000-0005-0000-0000-00000F020000}"/>
    <cellStyle name="Nota 21" xfId="528" xr:uid="{00000000-0005-0000-0000-000010020000}"/>
    <cellStyle name="Nota 21 2" xfId="529" xr:uid="{00000000-0005-0000-0000-000011020000}"/>
    <cellStyle name="Nota 22" xfId="530" xr:uid="{00000000-0005-0000-0000-000012020000}"/>
    <cellStyle name="Nota 22 2" xfId="531" xr:uid="{00000000-0005-0000-0000-000013020000}"/>
    <cellStyle name="Nota 23" xfId="532" xr:uid="{00000000-0005-0000-0000-000014020000}"/>
    <cellStyle name="Nota 23 2" xfId="533" xr:uid="{00000000-0005-0000-0000-000015020000}"/>
    <cellStyle name="Nota 24" xfId="534" xr:uid="{00000000-0005-0000-0000-000016020000}"/>
    <cellStyle name="Nota 24 2" xfId="535" xr:uid="{00000000-0005-0000-0000-000017020000}"/>
    <cellStyle name="Nota 25" xfId="536" xr:uid="{00000000-0005-0000-0000-000018020000}"/>
    <cellStyle name="Nota 25 2" xfId="537" xr:uid="{00000000-0005-0000-0000-000019020000}"/>
    <cellStyle name="Nota 26" xfId="538" xr:uid="{00000000-0005-0000-0000-00001A020000}"/>
    <cellStyle name="Nota 26 2" xfId="539" xr:uid="{00000000-0005-0000-0000-00001B020000}"/>
    <cellStyle name="Nota 27" xfId="540" xr:uid="{00000000-0005-0000-0000-00001C020000}"/>
    <cellStyle name="Nota 27 2" xfId="541" xr:uid="{00000000-0005-0000-0000-00001D020000}"/>
    <cellStyle name="Nota 28" xfId="542" xr:uid="{00000000-0005-0000-0000-00001E020000}"/>
    <cellStyle name="Nota 28 2" xfId="543" xr:uid="{00000000-0005-0000-0000-00001F020000}"/>
    <cellStyle name="Nota 29" xfId="544" xr:uid="{00000000-0005-0000-0000-000020020000}"/>
    <cellStyle name="Nota 29 2" xfId="545" xr:uid="{00000000-0005-0000-0000-000021020000}"/>
    <cellStyle name="Nota 3" xfId="546" xr:uid="{00000000-0005-0000-0000-000022020000}"/>
    <cellStyle name="Nota 3 2" xfId="547" xr:uid="{00000000-0005-0000-0000-000023020000}"/>
    <cellStyle name="Nota 30" xfId="548" xr:uid="{00000000-0005-0000-0000-000024020000}"/>
    <cellStyle name="Nota 30 2" xfId="549" xr:uid="{00000000-0005-0000-0000-000025020000}"/>
    <cellStyle name="Nota 31" xfId="550" xr:uid="{00000000-0005-0000-0000-000026020000}"/>
    <cellStyle name="Nota 31 2" xfId="551" xr:uid="{00000000-0005-0000-0000-000027020000}"/>
    <cellStyle name="Nota 32" xfId="552" xr:uid="{00000000-0005-0000-0000-000028020000}"/>
    <cellStyle name="Nota 32 2" xfId="553" xr:uid="{00000000-0005-0000-0000-000029020000}"/>
    <cellStyle name="Nota 33" xfId="554" xr:uid="{00000000-0005-0000-0000-00002A020000}"/>
    <cellStyle name="Nota 33 2" xfId="555" xr:uid="{00000000-0005-0000-0000-00002B020000}"/>
    <cellStyle name="Nota 34" xfId="556" xr:uid="{00000000-0005-0000-0000-00002C020000}"/>
    <cellStyle name="Nota 34 2" xfId="557" xr:uid="{00000000-0005-0000-0000-00002D020000}"/>
    <cellStyle name="Nota 35" xfId="558" xr:uid="{00000000-0005-0000-0000-00002E020000}"/>
    <cellStyle name="Nota 35 2" xfId="559" xr:uid="{00000000-0005-0000-0000-00002F020000}"/>
    <cellStyle name="Nota 36" xfId="560" xr:uid="{00000000-0005-0000-0000-000030020000}"/>
    <cellStyle name="Nota 36 2" xfId="561" xr:uid="{00000000-0005-0000-0000-000031020000}"/>
    <cellStyle name="Nota 37" xfId="562" xr:uid="{00000000-0005-0000-0000-000032020000}"/>
    <cellStyle name="Nota 37 2" xfId="563" xr:uid="{00000000-0005-0000-0000-000033020000}"/>
    <cellStyle name="Nota 38" xfId="564" xr:uid="{00000000-0005-0000-0000-000034020000}"/>
    <cellStyle name="Nota 39" xfId="565" xr:uid="{00000000-0005-0000-0000-000035020000}"/>
    <cellStyle name="Nota 4" xfId="566" xr:uid="{00000000-0005-0000-0000-000036020000}"/>
    <cellStyle name="Nota 4 2" xfId="567" xr:uid="{00000000-0005-0000-0000-000037020000}"/>
    <cellStyle name="Nota 5" xfId="568" xr:uid="{00000000-0005-0000-0000-000038020000}"/>
    <cellStyle name="Nota 5 2" xfId="569" xr:uid="{00000000-0005-0000-0000-000039020000}"/>
    <cellStyle name="Nota 6" xfId="570" xr:uid="{00000000-0005-0000-0000-00003A020000}"/>
    <cellStyle name="Nota 6 2" xfId="571" xr:uid="{00000000-0005-0000-0000-00003B020000}"/>
    <cellStyle name="Nota 7" xfId="572" xr:uid="{00000000-0005-0000-0000-00003C020000}"/>
    <cellStyle name="Nota 7 2" xfId="573" xr:uid="{00000000-0005-0000-0000-00003D020000}"/>
    <cellStyle name="Nota 8" xfId="574" xr:uid="{00000000-0005-0000-0000-00003E020000}"/>
    <cellStyle name="Nota 8 2" xfId="575" xr:uid="{00000000-0005-0000-0000-00003F020000}"/>
    <cellStyle name="Nota 9" xfId="576" xr:uid="{00000000-0005-0000-0000-000040020000}"/>
    <cellStyle name="Nota 9 2" xfId="577" xr:uid="{00000000-0005-0000-0000-000041020000}"/>
    <cellStyle name="Output" xfId="578" xr:uid="{00000000-0005-0000-0000-000042020000}"/>
    <cellStyle name="planilhas" xfId="579" xr:uid="{00000000-0005-0000-0000-000043020000}"/>
    <cellStyle name="Porcentagem" xfId="580" builtinId="5"/>
    <cellStyle name="Porcentagem 10" xfId="581" xr:uid="{00000000-0005-0000-0000-000045020000}"/>
    <cellStyle name="Porcentagem 10 2" xfId="582" xr:uid="{00000000-0005-0000-0000-000046020000}"/>
    <cellStyle name="Porcentagem 11" xfId="583" xr:uid="{00000000-0005-0000-0000-000047020000}"/>
    <cellStyle name="Porcentagem 12" xfId="584" xr:uid="{00000000-0005-0000-0000-000048020000}"/>
    <cellStyle name="Porcentagem 13" xfId="585" xr:uid="{00000000-0005-0000-0000-000049020000}"/>
    <cellStyle name="Porcentagem 14" xfId="586" xr:uid="{00000000-0005-0000-0000-00004A020000}"/>
    <cellStyle name="Porcentagem 15" xfId="587" xr:uid="{00000000-0005-0000-0000-00004B020000}"/>
    <cellStyle name="Porcentagem 16" xfId="588" xr:uid="{00000000-0005-0000-0000-00004C020000}"/>
    <cellStyle name="Porcentagem 17" xfId="589" xr:uid="{00000000-0005-0000-0000-00004D020000}"/>
    <cellStyle name="Porcentagem 18" xfId="590" xr:uid="{00000000-0005-0000-0000-00004E020000}"/>
    <cellStyle name="Porcentagem 19" xfId="591" xr:uid="{00000000-0005-0000-0000-00004F020000}"/>
    <cellStyle name="Porcentagem 2" xfId="592" xr:uid="{00000000-0005-0000-0000-000050020000}"/>
    <cellStyle name="Porcentagem 2 10" xfId="593" xr:uid="{00000000-0005-0000-0000-000051020000}"/>
    <cellStyle name="Porcentagem 2 11" xfId="594" xr:uid="{00000000-0005-0000-0000-000052020000}"/>
    <cellStyle name="Porcentagem 2 12" xfId="595" xr:uid="{00000000-0005-0000-0000-000053020000}"/>
    <cellStyle name="Porcentagem 2 13" xfId="596" xr:uid="{00000000-0005-0000-0000-000054020000}"/>
    <cellStyle name="Porcentagem 2 14" xfId="597" xr:uid="{00000000-0005-0000-0000-000055020000}"/>
    <cellStyle name="Porcentagem 2 15" xfId="598" xr:uid="{00000000-0005-0000-0000-000056020000}"/>
    <cellStyle name="Porcentagem 2 16" xfId="599" xr:uid="{00000000-0005-0000-0000-000057020000}"/>
    <cellStyle name="Porcentagem 2 17" xfId="600" xr:uid="{00000000-0005-0000-0000-000058020000}"/>
    <cellStyle name="Porcentagem 2 18" xfId="601" xr:uid="{00000000-0005-0000-0000-000059020000}"/>
    <cellStyle name="Porcentagem 2 19" xfId="602" xr:uid="{00000000-0005-0000-0000-00005A020000}"/>
    <cellStyle name="Porcentagem 2 2" xfId="603" xr:uid="{00000000-0005-0000-0000-00005B020000}"/>
    <cellStyle name="Porcentagem 2 2 2" xfId="604" xr:uid="{00000000-0005-0000-0000-00005C020000}"/>
    <cellStyle name="Porcentagem 2 2 3" xfId="605" xr:uid="{00000000-0005-0000-0000-00005D020000}"/>
    <cellStyle name="Porcentagem 2 20" xfId="606" xr:uid="{00000000-0005-0000-0000-00005E020000}"/>
    <cellStyle name="Porcentagem 2 21" xfId="607" xr:uid="{00000000-0005-0000-0000-00005F020000}"/>
    <cellStyle name="Porcentagem 2 22" xfId="608" xr:uid="{00000000-0005-0000-0000-000060020000}"/>
    <cellStyle name="Porcentagem 2 23" xfId="609" xr:uid="{00000000-0005-0000-0000-000061020000}"/>
    <cellStyle name="Porcentagem 2 24" xfId="610" xr:uid="{00000000-0005-0000-0000-000062020000}"/>
    <cellStyle name="Porcentagem 2 25" xfId="611" xr:uid="{00000000-0005-0000-0000-000063020000}"/>
    <cellStyle name="Porcentagem 2 26" xfId="612" xr:uid="{00000000-0005-0000-0000-000064020000}"/>
    <cellStyle name="Porcentagem 2 27" xfId="613" xr:uid="{00000000-0005-0000-0000-000065020000}"/>
    <cellStyle name="Porcentagem 2 28" xfId="614" xr:uid="{00000000-0005-0000-0000-000066020000}"/>
    <cellStyle name="Porcentagem 2 29" xfId="615" xr:uid="{00000000-0005-0000-0000-000067020000}"/>
    <cellStyle name="Porcentagem 2 3" xfId="616" xr:uid="{00000000-0005-0000-0000-000068020000}"/>
    <cellStyle name="Porcentagem 2 30" xfId="617" xr:uid="{00000000-0005-0000-0000-000069020000}"/>
    <cellStyle name="Porcentagem 2 4" xfId="618" xr:uid="{00000000-0005-0000-0000-00006A020000}"/>
    <cellStyle name="Porcentagem 2 5" xfId="619" xr:uid="{00000000-0005-0000-0000-00006B020000}"/>
    <cellStyle name="Porcentagem 2 6" xfId="620" xr:uid="{00000000-0005-0000-0000-00006C020000}"/>
    <cellStyle name="Porcentagem 2 7" xfId="621" xr:uid="{00000000-0005-0000-0000-00006D020000}"/>
    <cellStyle name="Porcentagem 2 8" xfId="622" xr:uid="{00000000-0005-0000-0000-00006E020000}"/>
    <cellStyle name="Porcentagem 2 9" xfId="623" xr:uid="{00000000-0005-0000-0000-00006F020000}"/>
    <cellStyle name="Porcentagem 20" xfId="624" xr:uid="{00000000-0005-0000-0000-000070020000}"/>
    <cellStyle name="Porcentagem 21" xfId="625" xr:uid="{00000000-0005-0000-0000-000071020000}"/>
    <cellStyle name="Porcentagem 22" xfId="626" xr:uid="{00000000-0005-0000-0000-000072020000}"/>
    <cellStyle name="Porcentagem 23" xfId="627" xr:uid="{00000000-0005-0000-0000-000073020000}"/>
    <cellStyle name="Porcentagem 24" xfId="628" xr:uid="{00000000-0005-0000-0000-000074020000}"/>
    <cellStyle name="Porcentagem 25" xfId="629" xr:uid="{00000000-0005-0000-0000-000075020000}"/>
    <cellStyle name="Porcentagem 26" xfId="630" xr:uid="{00000000-0005-0000-0000-000076020000}"/>
    <cellStyle name="Porcentagem 27" xfId="631" xr:uid="{00000000-0005-0000-0000-000077020000}"/>
    <cellStyle name="Porcentagem 28" xfId="632" xr:uid="{00000000-0005-0000-0000-000078020000}"/>
    <cellStyle name="Porcentagem 29" xfId="633" xr:uid="{00000000-0005-0000-0000-000079020000}"/>
    <cellStyle name="Porcentagem 3" xfId="634" xr:uid="{00000000-0005-0000-0000-00007A020000}"/>
    <cellStyle name="Porcentagem 30" xfId="635" xr:uid="{00000000-0005-0000-0000-00007B020000}"/>
    <cellStyle name="Porcentagem 31" xfId="636" xr:uid="{00000000-0005-0000-0000-00007C020000}"/>
    <cellStyle name="Porcentagem 33" xfId="637" xr:uid="{00000000-0005-0000-0000-00007D020000}"/>
    <cellStyle name="Porcentagem 4" xfId="638" xr:uid="{00000000-0005-0000-0000-00007E020000}"/>
    <cellStyle name="Porcentagem 5" xfId="639" xr:uid="{00000000-0005-0000-0000-00007F020000}"/>
    <cellStyle name="Porcentagem 6" xfId="640" xr:uid="{00000000-0005-0000-0000-000080020000}"/>
    <cellStyle name="Porcentagem 7" xfId="641" xr:uid="{00000000-0005-0000-0000-000081020000}"/>
    <cellStyle name="Porcentagem 8" xfId="642" xr:uid="{00000000-0005-0000-0000-000082020000}"/>
    <cellStyle name="Porcentagem 9" xfId="643" xr:uid="{00000000-0005-0000-0000-000083020000}"/>
    <cellStyle name="Saída" xfId="644" builtinId="21"/>
    <cellStyle name="Saída 2" xfId="645" xr:uid="{00000000-0005-0000-0000-000085020000}"/>
    <cellStyle name="Saída 2 2" xfId="646" xr:uid="{00000000-0005-0000-0000-000086020000}"/>
    <cellStyle name="Saída 2 3" xfId="647" xr:uid="{00000000-0005-0000-0000-000087020000}"/>
    <cellStyle name="Saída 2_CIVIL- BL 1-2-3-4-5-6-7-8 " xfId="648" xr:uid="{00000000-0005-0000-0000-000088020000}"/>
    <cellStyle name="Saída 3" xfId="649" xr:uid="{00000000-0005-0000-0000-000089020000}"/>
    <cellStyle name="Saída 4" xfId="650" xr:uid="{00000000-0005-0000-0000-00008A020000}"/>
    <cellStyle name="Saída 5" xfId="651" xr:uid="{00000000-0005-0000-0000-00008B020000}"/>
    <cellStyle name="Saída 6" xfId="652" xr:uid="{00000000-0005-0000-0000-00008C020000}"/>
    <cellStyle name="Separador de milhares 10" xfId="653" xr:uid="{00000000-0005-0000-0000-00008D020000}"/>
    <cellStyle name="Separador de milhares 11" xfId="654" xr:uid="{00000000-0005-0000-0000-00008E020000}"/>
    <cellStyle name="Separador de milhares 12" xfId="655" xr:uid="{00000000-0005-0000-0000-00008F020000}"/>
    <cellStyle name="Separador de milhares 13" xfId="656" xr:uid="{00000000-0005-0000-0000-000090020000}"/>
    <cellStyle name="Separador de milhares 14" xfId="657" xr:uid="{00000000-0005-0000-0000-000091020000}"/>
    <cellStyle name="Separador de milhares 15" xfId="658" xr:uid="{00000000-0005-0000-0000-000092020000}"/>
    <cellStyle name="Separador de milhares 16" xfId="659" xr:uid="{00000000-0005-0000-0000-000093020000}"/>
    <cellStyle name="Separador de milhares 17" xfId="660" xr:uid="{00000000-0005-0000-0000-000094020000}"/>
    <cellStyle name="Separador de milhares 18" xfId="661" xr:uid="{00000000-0005-0000-0000-000095020000}"/>
    <cellStyle name="Separador de milhares 19" xfId="662" xr:uid="{00000000-0005-0000-0000-000096020000}"/>
    <cellStyle name="Separador de milhares 2 10" xfId="663" xr:uid="{00000000-0005-0000-0000-000097020000}"/>
    <cellStyle name="Separador de milhares 2 11" xfId="664" xr:uid="{00000000-0005-0000-0000-000098020000}"/>
    <cellStyle name="Separador de milhares 2 12" xfId="665" xr:uid="{00000000-0005-0000-0000-000099020000}"/>
    <cellStyle name="Separador de milhares 2 13" xfId="666" xr:uid="{00000000-0005-0000-0000-00009A020000}"/>
    <cellStyle name="Separador de milhares 2 14" xfId="667" xr:uid="{00000000-0005-0000-0000-00009B020000}"/>
    <cellStyle name="Separador de milhares 2 15" xfId="668" xr:uid="{00000000-0005-0000-0000-00009C020000}"/>
    <cellStyle name="Separador de milhares 2 16" xfId="669" xr:uid="{00000000-0005-0000-0000-00009D020000}"/>
    <cellStyle name="Separador de milhares 2 17" xfId="670" xr:uid="{00000000-0005-0000-0000-00009E020000}"/>
    <cellStyle name="Separador de milhares 2 18" xfId="671" xr:uid="{00000000-0005-0000-0000-00009F020000}"/>
    <cellStyle name="Separador de milhares 2 19" xfId="672" xr:uid="{00000000-0005-0000-0000-0000A0020000}"/>
    <cellStyle name="Separador de milhares 2 2" xfId="673" xr:uid="{00000000-0005-0000-0000-0000A1020000}"/>
    <cellStyle name="Separador de milhares 2 2 2" xfId="674" xr:uid="{00000000-0005-0000-0000-0000A2020000}"/>
    <cellStyle name="Separador de milhares 2 20" xfId="675" xr:uid="{00000000-0005-0000-0000-0000A3020000}"/>
    <cellStyle name="Separador de milhares 2 21" xfId="676" xr:uid="{00000000-0005-0000-0000-0000A4020000}"/>
    <cellStyle name="Separador de milhares 2 22" xfId="677" xr:uid="{00000000-0005-0000-0000-0000A5020000}"/>
    <cellStyle name="Separador de milhares 2 23" xfId="678" xr:uid="{00000000-0005-0000-0000-0000A6020000}"/>
    <cellStyle name="Separador de milhares 2 24" xfId="679" xr:uid="{00000000-0005-0000-0000-0000A7020000}"/>
    <cellStyle name="Separador de milhares 2 25" xfId="680" xr:uid="{00000000-0005-0000-0000-0000A8020000}"/>
    <cellStyle name="Separador de milhares 2 26" xfId="681" xr:uid="{00000000-0005-0000-0000-0000A9020000}"/>
    <cellStyle name="Separador de milhares 2 27" xfId="682" xr:uid="{00000000-0005-0000-0000-0000AA020000}"/>
    <cellStyle name="Separador de milhares 2 28" xfId="683" xr:uid="{00000000-0005-0000-0000-0000AB020000}"/>
    <cellStyle name="Separador de milhares 2 29" xfId="684" xr:uid="{00000000-0005-0000-0000-0000AC020000}"/>
    <cellStyle name="Separador de milhares 2 3" xfId="685" xr:uid="{00000000-0005-0000-0000-0000AD020000}"/>
    <cellStyle name="Separador de milhares 2 30" xfId="686" xr:uid="{00000000-0005-0000-0000-0000AE020000}"/>
    <cellStyle name="Separador de milhares 2 31" xfId="687" xr:uid="{00000000-0005-0000-0000-0000AF020000}"/>
    <cellStyle name="Separador de milhares 2 4" xfId="688" xr:uid="{00000000-0005-0000-0000-0000B0020000}"/>
    <cellStyle name="Separador de milhares 2 5" xfId="689" xr:uid="{00000000-0005-0000-0000-0000B1020000}"/>
    <cellStyle name="Separador de milhares 2 6" xfId="690" xr:uid="{00000000-0005-0000-0000-0000B2020000}"/>
    <cellStyle name="Separador de milhares 2 7" xfId="691" xr:uid="{00000000-0005-0000-0000-0000B3020000}"/>
    <cellStyle name="Separador de milhares 2 8" xfId="692" xr:uid="{00000000-0005-0000-0000-0000B4020000}"/>
    <cellStyle name="Separador de milhares 2 9" xfId="693" xr:uid="{00000000-0005-0000-0000-0000B5020000}"/>
    <cellStyle name="Separador de milhares 20" xfId="694" xr:uid="{00000000-0005-0000-0000-0000B6020000}"/>
    <cellStyle name="Separador de milhares 21" xfId="695" xr:uid="{00000000-0005-0000-0000-0000B7020000}"/>
    <cellStyle name="Separador de milhares 22" xfId="696" xr:uid="{00000000-0005-0000-0000-0000B8020000}"/>
    <cellStyle name="Separador de milhares 23" xfId="697" xr:uid="{00000000-0005-0000-0000-0000B9020000}"/>
    <cellStyle name="Separador de milhares 24" xfId="698" xr:uid="{00000000-0005-0000-0000-0000BA020000}"/>
    <cellStyle name="Separador de milhares 25" xfId="699" xr:uid="{00000000-0005-0000-0000-0000BB020000}"/>
    <cellStyle name="Separador de milhares 26" xfId="700" xr:uid="{00000000-0005-0000-0000-0000BC020000}"/>
    <cellStyle name="Separador de milhares 27" xfId="701" xr:uid="{00000000-0005-0000-0000-0000BD020000}"/>
    <cellStyle name="Separador de milhares 28" xfId="702" xr:uid="{00000000-0005-0000-0000-0000BE020000}"/>
    <cellStyle name="Separador de milhares 29" xfId="703" xr:uid="{00000000-0005-0000-0000-0000BF020000}"/>
    <cellStyle name="Separador de milhares 3 2" xfId="704" xr:uid="{00000000-0005-0000-0000-0000C0020000}"/>
    <cellStyle name="Separador de milhares 3 3" xfId="705" xr:uid="{00000000-0005-0000-0000-0000C1020000}"/>
    <cellStyle name="Separador de milhares 3 4" xfId="706" xr:uid="{00000000-0005-0000-0000-0000C2020000}"/>
    <cellStyle name="Separador de milhares 30" xfId="707" xr:uid="{00000000-0005-0000-0000-0000C3020000}"/>
    <cellStyle name="Separador de milhares 31" xfId="708" xr:uid="{00000000-0005-0000-0000-0000C4020000}"/>
    <cellStyle name="Separador de milhares 4" xfId="709" xr:uid="{00000000-0005-0000-0000-0000C5020000}"/>
    <cellStyle name="Separador de milhares 5" xfId="710" xr:uid="{00000000-0005-0000-0000-0000C6020000}"/>
    <cellStyle name="Separador de milhares 5 2" xfId="711" xr:uid="{00000000-0005-0000-0000-0000C7020000}"/>
    <cellStyle name="Separador de milhares 5 3" xfId="712" xr:uid="{00000000-0005-0000-0000-0000C8020000}"/>
    <cellStyle name="Separador de milhares 6" xfId="713" xr:uid="{00000000-0005-0000-0000-0000C9020000}"/>
    <cellStyle name="Separador de milhares 6 2" xfId="714" xr:uid="{00000000-0005-0000-0000-0000CA020000}"/>
    <cellStyle name="Separador de milhares 7" xfId="715" xr:uid="{00000000-0005-0000-0000-0000CB020000}"/>
    <cellStyle name="Separador de milhares 8" xfId="716" xr:uid="{00000000-0005-0000-0000-0000CC020000}"/>
    <cellStyle name="Separador de milhares 9" xfId="717" xr:uid="{00000000-0005-0000-0000-0000CD020000}"/>
    <cellStyle name="Texto de Aviso 2" xfId="718" xr:uid="{00000000-0005-0000-0000-0000CE020000}"/>
    <cellStyle name="Texto de Aviso 2 2" xfId="719" xr:uid="{00000000-0005-0000-0000-0000CF020000}"/>
    <cellStyle name="Texto de Aviso 2 3" xfId="720" xr:uid="{00000000-0005-0000-0000-0000D0020000}"/>
    <cellStyle name="Texto de Aviso 2_ORÇAMENTO - FORUM DE V. GRANDE" xfId="721" xr:uid="{00000000-0005-0000-0000-0000D1020000}"/>
    <cellStyle name="Texto de Aviso 3" xfId="722" xr:uid="{00000000-0005-0000-0000-0000D2020000}"/>
    <cellStyle name="Texto de Aviso 4" xfId="723" xr:uid="{00000000-0005-0000-0000-0000D3020000}"/>
    <cellStyle name="Texto de Aviso 5" xfId="724" xr:uid="{00000000-0005-0000-0000-0000D4020000}"/>
    <cellStyle name="Texto de Aviso 6" xfId="725" xr:uid="{00000000-0005-0000-0000-0000D5020000}"/>
    <cellStyle name="Texto Explicativo 2" xfId="726" xr:uid="{00000000-0005-0000-0000-0000D6020000}"/>
    <cellStyle name="Texto Explicativo 2 2" xfId="727" xr:uid="{00000000-0005-0000-0000-0000D7020000}"/>
    <cellStyle name="Texto Explicativo 2 3" xfId="728" xr:uid="{00000000-0005-0000-0000-0000D8020000}"/>
    <cellStyle name="Texto Explicativo 2_ORÇAMENTO - FORUM DE V. GRANDE" xfId="729" xr:uid="{00000000-0005-0000-0000-0000D9020000}"/>
    <cellStyle name="Texto Explicativo 3" xfId="730" xr:uid="{00000000-0005-0000-0000-0000DA020000}"/>
    <cellStyle name="Texto Explicativo 4" xfId="731" xr:uid="{00000000-0005-0000-0000-0000DB020000}"/>
    <cellStyle name="Texto Explicativo 5" xfId="732" xr:uid="{00000000-0005-0000-0000-0000DC020000}"/>
    <cellStyle name="Texto Explicativo 6" xfId="733" xr:uid="{00000000-0005-0000-0000-0000DD020000}"/>
    <cellStyle name="Title" xfId="734" xr:uid="{00000000-0005-0000-0000-0000DE020000}"/>
    <cellStyle name="Título 1 2" xfId="735" xr:uid="{00000000-0005-0000-0000-0000DF020000}"/>
    <cellStyle name="Título 1 2 2" xfId="736" xr:uid="{00000000-0005-0000-0000-0000E0020000}"/>
    <cellStyle name="Título 1 2 3" xfId="737" xr:uid="{00000000-0005-0000-0000-0000E1020000}"/>
    <cellStyle name="Título 1 2_CIVIL- BL 1-2-3-4-5-6-7-8 " xfId="738" xr:uid="{00000000-0005-0000-0000-0000E2020000}"/>
    <cellStyle name="Título 1 3" xfId="739" xr:uid="{00000000-0005-0000-0000-0000E3020000}"/>
    <cellStyle name="Título 1 4" xfId="740" xr:uid="{00000000-0005-0000-0000-0000E4020000}"/>
    <cellStyle name="Título 1 5" xfId="741" xr:uid="{00000000-0005-0000-0000-0000E5020000}"/>
    <cellStyle name="Título 1 6" xfId="742" xr:uid="{00000000-0005-0000-0000-0000E6020000}"/>
    <cellStyle name="Título 10" xfId="743" xr:uid="{00000000-0005-0000-0000-0000E7020000}"/>
    <cellStyle name="Título 2 2" xfId="744" xr:uid="{00000000-0005-0000-0000-0000E8020000}"/>
    <cellStyle name="Título 2 2 2" xfId="745" xr:uid="{00000000-0005-0000-0000-0000E9020000}"/>
    <cellStyle name="Título 2 2 3" xfId="746" xr:uid="{00000000-0005-0000-0000-0000EA020000}"/>
    <cellStyle name="Título 2 2_CIVIL- BL 1-2-3-4-5-6-7-8 " xfId="747" xr:uid="{00000000-0005-0000-0000-0000EB020000}"/>
    <cellStyle name="Título 2 3" xfId="748" xr:uid="{00000000-0005-0000-0000-0000EC020000}"/>
    <cellStyle name="Título 2 4" xfId="749" xr:uid="{00000000-0005-0000-0000-0000ED020000}"/>
    <cellStyle name="Título 2 5" xfId="750" xr:uid="{00000000-0005-0000-0000-0000EE020000}"/>
    <cellStyle name="Título 2 6" xfId="751" xr:uid="{00000000-0005-0000-0000-0000EF020000}"/>
    <cellStyle name="Título 3 2" xfId="752" xr:uid="{00000000-0005-0000-0000-0000F0020000}"/>
    <cellStyle name="Título 3 2 2" xfId="753" xr:uid="{00000000-0005-0000-0000-0000F1020000}"/>
    <cellStyle name="Título 3 2 3" xfId="754" xr:uid="{00000000-0005-0000-0000-0000F2020000}"/>
    <cellStyle name="Título 3 2_CIVIL- BL 1-2-3-4-5-6-7-8 " xfId="755" xr:uid="{00000000-0005-0000-0000-0000F3020000}"/>
    <cellStyle name="Título 3 3" xfId="756" xr:uid="{00000000-0005-0000-0000-0000F4020000}"/>
    <cellStyle name="Título 3 4" xfId="757" xr:uid="{00000000-0005-0000-0000-0000F5020000}"/>
    <cellStyle name="Título 3 5" xfId="758" xr:uid="{00000000-0005-0000-0000-0000F6020000}"/>
    <cellStyle name="Título 3 6" xfId="759" xr:uid="{00000000-0005-0000-0000-0000F7020000}"/>
    <cellStyle name="Título 4 2" xfId="760" xr:uid="{00000000-0005-0000-0000-0000F8020000}"/>
    <cellStyle name="Título 4 2 2" xfId="761" xr:uid="{00000000-0005-0000-0000-0000F9020000}"/>
    <cellStyle name="Título 4 2 3" xfId="762" xr:uid="{00000000-0005-0000-0000-0000FA020000}"/>
    <cellStyle name="Título 4 2_ORÇAMENTO - FORUM DE V. GRANDE" xfId="763" xr:uid="{00000000-0005-0000-0000-0000FB020000}"/>
    <cellStyle name="Título 4 3" xfId="764" xr:uid="{00000000-0005-0000-0000-0000FC020000}"/>
    <cellStyle name="Título 4 4" xfId="765" xr:uid="{00000000-0005-0000-0000-0000FD020000}"/>
    <cellStyle name="Título 4 5" xfId="766" xr:uid="{00000000-0005-0000-0000-0000FE020000}"/>
    <cellStyle name="Título 4 6" xfId="767" xr:uid="{00000000-0005-0000-0000-0000FF020000}"/>
    <cellStyle name="Título 5" xfId="768" xr:uid="{00000000-0005-0000-0000-000000030000}"/>
    <cellStyle name="Título 5 2" xfId="769" xr:uid="{00000000-0005-0000-0000-000001030000}"/>
    <cellStyle name="Título 5 3" xfId="770" xr:uid="{00000000-0005-0000-0000-000002030000}"/>
    <cellStyle name="Título 5_ORÇAMENTO - FORUM DE V. GRANDE" xfId="771" xr:uid="{00000000-0005-0000-0000-000003030000}"/>
    <cellStyle name="Título 6" xfId="772" xr:uid="{00000000-0005-0000-0000-000004030000}"/>
    <cellStyle name="Título 7" xfId="773" xr:uid="{00000000-0005-0000-0000-000005030000}"/>
    <cellStyle name="Título 8" xfId="774" xr:uid="{00000000-0005-0000-0000-000006030000}"/>
    <cellStyle name="Título 9" xfId="775" xr:uid="{00000000-0005-0000-0000-000007030000}"/>
    <cellStyle name="Total 2" xfId="776" xr:uid="{00000000-0005-0000-0000-000008030000}"/>
    <cellStyle name="Total 2 2" xfId="777" xr:uid="{00000000-0005-0000-0000-000009030000}"/>
    <cellStyle name="Total 2 3" xfId="778" xr:uid="{00000000-0005-0000-0000-00000A030000}"/>
    <cellStyle name="Total 2_CIVIL- BL 1-2-3-4-5-6-7-8 " xfId="779" xr:uid="{00000000-0005-0000-0000-00000B030000}"/>
    <cellStyle name="Total 3" xfId="780" xr:uid="{00000000-0005-0000-0000-00000C030000}"/>
    <cellStyle name="Total 4" xfId="781" xr:uid="{00000000-0005-0000-0000-00000D030000}"/>
    <cellStyle name="Total 5" xfId="782" xr:uid="{00000000-0005-0000-0000-00000E030000}"/>
    <cellStyle name="Total 6" xfId="783" xr:uid="{00000000-0005-0000-0000-00000F030000}"/>
    <cellStyle name="Total 7" xfId="784" xr:uid="{00000000-0005-0000-0000-000010030000}"/>
    <cellStyle name="Vírgula" xfId="785" builtinId="3"/>
    <cellStyle name="Vírgula 2" xfId="786" xr:uid="{00000000-0005-0000-0000-000012030000}"/>
    <cellStyle name="Vírgula 2 2" xfId="787" xr:uid="{00000000-0005-0000-0000-000013030000}"/>
    <cellStyle name="Vírgula 2 3" xfId="788" xr:uid="{00000000-0005-0000-0000-000014030000}"/>
    <cellStyle name="Vírgula 3" xfId="789" xr:uid="{00000000-0005-0000-0000-000015030000}"/>
    <cellStyle name="Vírgula 3 2" xfId="790" xr:uid="{00000000-0005-0000-0000-000016030000}"/>
    <cellStyle name="Vírgula 4" xfId="791" xr:uid="{00000000-0005-0000-0000-000017030000}"/>
    <cellStyle name="Vírgula 4 2" xfId="792" xr:uid="{00000000-0005-0000-0000-000018030000}"/>
    <cellStyle name="Vírgula 5" xfId="793" xr:uid="{00000000-0005-0000-0000-00001903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71044" name="Picture 3">
          <a:extLst>
            <a:ext uri="{FF2B5EF4-FFF2-40B4-BE49-F238E27FC236}">
              <a16:creationId xmlns:a16="http://schemas.microsoft.com/office/drawing/2014/main" id="{14799525-CCA7-4471-BF90-6C140B4F1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410200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71045" name="Picture 3">
          <a:extLst>
            <a:ext uri="{FF2B5EF4-FFF2-40B4-BE49-F238E27FC236}">
              <a16:creationId xmlns:a16="http://schemas.microsoft.com/office/drawing/2014/main" id="{82C31066-2A7E-4099-85B4-2140A31252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410200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72068" name="Picture 3">
          <a:extLst>
            <a:ext uri="{FF2B5EF4-FFF2-40B4-BE49-F238E27FC236}">
              <a16:creationId xmlns:a16="http://schemas.microsoft.com/office/drawing/2014/main" id="{45FEFDA4-700F-494E-984A-B903DC0C8A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448300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</xdr:col>
      <xdr:colOff>1285875</xdr:colOff>
      <xdr:row>27</xdr:row>
      <xdr:rowOff>57150</xdr:rowOff>
    </xdr:from>
    <xdr:to>
      <xdr:col>5</xdr:col>
      <xdr:colOff>152400</xdr:colOff>
      <xdr:row>33</xdr:row>
      <xdr:rowOff>85725</xdr:rowOff>
    </xdr:to>
    <xdr:pic>
      <xdr:nvPicPr>
        <xdr:cNvPr id="172069" name="Picture 3">
          <a:extLst>
            <a:ext uri="{FF2B5EF4-FFF2-40B4-BE49-F238E27FC236}">
              <a16:creationId xmlns:a16="http://schemas.microsoft.com/office/drawing/2014/main" id="{63C5C35A-6597-4C74-B504-3E540E273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5448300"/>
          <a:ext cx="3476625" cy="11525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nas\Projetos\A00%20VARZEA%20GRANDE%202020\ATA%20NOVA\ALTO%20DA%20BOA%20VISTA\DRENAGEM\NS%20-%20BUEIRO%20DE%20TALVEGU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nas\Projetos\A1%20V&#193;RZEA%20GRANDE%202018\BAIRRO%2023%20DE%20SETEMBRO%20E%20OUTROS\OR&#199;AMENTO\QUANTIDADE%20E%20OR&#199;AMENTO%20%2023%20SETEMBRO%20N&#195;O%20DESONERAD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NAS\Projetos\%23%20V&#193;RZEA%20GRANDE%202021\NOVA%20ESPERAN&#199;A%20ATUALIZADO\OR&#199;AMENTO\COMPOSI&#199;&#195;O%20DE%20CUSTO\Estudo%20de%20aquisi&#231;&#227;o%20e%20transporte%20de%20mat%20betuminosos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ao\d\A%20Meus%20documentos\A1%20V&#193;RZEA%20GRANDE%202018\JARDIM%20PAULA%20II\OR&#199;AMENTO\QUANTIDADE%20E%20OR&#199;AMENTO%20-%20JD%20PAULA%20II%2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nas\Projetos\A1%20V&#193;RZEA%20GRANDE%202018\BAIRRO%20ASA%20BRANCA-%20SANTA%20ISABEL\OR&#199;AMENTO\QUANTIDADE%20E%20OR&#199;AMENTO%20%20ASA%20BRANCA%20N&#195;O%20DESONER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TO DA BOA VISTA"/>
    </sheetNames>
    <sheetDataSet>
      <sheetData sheetId="0">
        <row r="7">
          <cell r="I7">
            <v>18</v>
          </cell>
          <cell r="P7">
            <v>187.92</v>
          </cell>
          <cell r="Q7">
            <v>56.375999999999998</v>
          </cell>
          <cell r="R7">
            <v>29.762999999999998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QUANT"/>
      <sheetName val="ORÇA "/>
      <sheetName val="CFF"/>
      <sheetName val="TRANSP"/>
      <sheetName val="MEMORIAL DE CALCULO"/>
      <sheetName val="BLS"/>
      <sheetName val="BLD"/>
      <sheetName val="BLT"/>
      <sheetName val="TERRAP E PAVIM"/>
      <sheetName val="BDI"/>
      <sheetName val="BDI DIFERENCIADO"/>
      <sheetName val="DRENO"/>
      <sheetName val="SN HOR"/>
      <sheetName val="SN VERT"/>
      <sheetName val="LASTRO"/>
    </sheetNames>
    <sheetDataSet>
      <sheetData sheetId="0"/>
      <sheetData sheetId="1">
        <row r="1">
          <cell r="A1" t="str">
            <v>PREFEITURA MUNICIPAL DE VÁRZEA GRANDE</v>
          </cell>
        </row>
        <row r="5">
          <cell r="A5" t="str">
            <v>ITEM</v>
          </cell>
          <cell r="B5" t="str">
            <v>CODIGO</v>
          </cell>
          <cell r="C5" t="str">
            <v>BANCO</v>
          </cell>
          <cell r="D5" t="str">
            <v>DISCRIMINAÇÃO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QUIS + TRANSPORTE"/>
      <sheetName val="TRANSPORTE"/>
      <sheetName val="Plan1"/>
    </sheetNames>
    <sheetDataSet>
      <sheetData sheetId="0"/>
      <sheetData sheetId="1">
        <row r="15">
          <cell r="I15"/>
        </row>
        <row r="47">
          <cell r="I47"/>
        </row>
        <row r="48">
          <cell r="S48"/>
        </row>
        <row r="61">
          <cell r="I61">
            <v>590.91999999999996</v>
          </cell>
        </row>
        <row r="62">
          <cell r="S62">
            <v>664.2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CFF"/>
      <sheetName val="QUANT"/>
      <sheetName val="ORÇA "/>
      <sheetName val="TRANSP"/>
      <sheetName val="MEMORIAL DE CALCULO"/>
      <sheetName val="BLD"/>
      <sheetName val="TERRAP E PAVIM"/>
      <sheetName val="BDI"/>
      <sheetName val="BDI DIFERENCIADO"/>
      <sheetName val="DRENO"/>
      <sheetName val="SN HOR"/>
      <sheetName val="SN VERT"/>
      <sheetName val="LASTRO"/>
      <sheetName val="TAB REAJUSTAMENTO"/>
    </sheetNames>
    <sheetDataSet>
      <sheetData sheetId="0" refreshError="1">
        <row r="9">
          <cell r="B9" t="str">
            <v>SERVIÇOS PRELIMINARES</v>
          </cell>
        </row>
        <row r="12">
          <cell r="B12" t="str">
            <v>ADMINISTRAÇÃO LOCAL</v>
          </cell>
        </row>
        <row r="15">
          <cell r="B15" t="str">
            <v>ENSAIOS TECNOLÓGICOS DE SOLO E ASFALTO</v>
          </cell>
        </row>
        <row r="18">
          <cell r="B18" t="str">
            <v>TERRAPLENAGEM</v>
          </cell>
        </row>
        <row r="21">
          <cell r="B21" t="str">
            <v>PAVIMENTAÇÃO</v>
          </cell>
        </row>
        <row r="24">
          <cell r="B24" t="str">
            <v>SINALIZAÇÃO HORIZONTAL/VERTICAL</v>
          </cell>
        </row>
        <row r="30">
          <cell r="B30" t="str">
            <v>DRENAGEM</v>
          </cell>
        </row>
        <row r="33">
          <cell r="B33" t="str">
            <v>FORNECIMENTO/ASSENTAMENTO DE TUBOS TIPO PA-1 e PA-2</v>
          </cell>
        </row>
        <row r="36">
          <cell r="B36" t="str">
            <v xml:space="preserve">ASSENTAMENTO E REJUNTAMENTO DE TUBO DE CONCRETO 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QUANT"/>
      <sheetName val="ORÇA "/>
      <sheetName val="TRANSP"/>
      <sheetName val="CFF"/>
      <sheetName val="MEMORIAL DE CALCULO"/>
      <sheetName val="BLS"/>
      <sheetName val="BLD"/>
      <sheetName val="TERRAP E PAVIM"/>
      <sheetName val="BDI"/>
      <sheetName val="BDI DIFERENCIADO"/>
      <sheetName val="DRENO"/>
      <sheetName val="SN HOR"/>
      <sheetName val="SN VERT"/>
      <sheetName val="LASTRO"/>
      <sheetName val="NS DRENAGEM"/>
    </sheetNames>
    <sheetDataSet>
      <sheetData sheetId="0">
        <row r="28">
          <cell r="B28" t="str">
            <v>OBRAS COMPLEMENTARES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orcafascio.com/banco/sinapi/insumos/5b05f7f614fef9480be9ed4e" TargetMode="External"/><Relationship Id="rId2" Type="http://schemas.openxmlformats.org/officeDocument/2006/relationships/hyperlink" Target="https://www.orcafascio.com/banco/sinapi/insumos/5b05f7f614fef9480be9ed4e" TargetMode="External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C62"/>
  <sheetViews>
    <sheetView topLeftCell="A13" zoomScale="80" zoomScaleNormal="80" zoomScaleSheetLayoutView="100" workbookViewId="0">
      <selection activeCell="C63" sqref="C63"/>
    </sheetView>
  </sheetViews>
  <sheetFormatPr defaultRowHeight="12.75"/>
  <cols>
    <col min="1" max="1" width="16.7109375" customWidth="1"/>
    <col min="2" max="2" width="60.140625" bestFit="1" customWidth="1"/>
    <col min="3" max="3" width="24.85546875" style="17" customWidth="1"/>
  </cols>
  <sheetData>
    <row r="1" spans="1:3" ht="13.5" thickBot="1">
      <c r="A1" s="8"/>
      <c r="B1" s="8"/>
      <c r="C1" s="160"/>
    </row>
    <row r="2" spans="1:3" ht="20.25" customHeight="1">
      <c r="A2" s="591" t="s">
        <v>57</v>
      </c>
      <c r="B2" s="592"/>
      <c r="C2" s="593"/>
    </row>
    <row r="3" spans="1:3" ht="12.75" customHeight="1">
      <c r="A3" s="594" t="s">
        <v>28</v>
      </c>
      <c r="B3" s="595"/>
      <c r="C3" s="596"/>
    </row>
    <row r="4" spans="1:3" ht="12.75" customHeight="1">
      <c r="A4" s="594"/>
      <c r="B4" s="595"/>
      <c r="C4" s="596"/>
    </row>
    <row r="5" spans="1:3">
      <c r="A5" s="598" t="s">
        <v>58</v>
      </c>
      <c r="B5" s="597" t="s">
        <v>59</v>
      </c>
      <c r="C5" s="149" t="s">
        <v>610</v>
      </c>
    </row>
    <row r="6" spans="1:3" ht="14.25" customHeight="1">
      <c r="A6" s="598"/>
      <c r="B6" s="597"/>
      <c r="C6" s="150" t="s">
        <v>611</v>
      </c>
    </row>
    <row r="7" spans="1:3">
      <c r="A7" s="598"/>
      <c r="B7" s="597"/>
      <c r="C7" s="150" t="s">
        <v>168</v>
      </c>
    </row>
    <row r="8" spans="1:3" ht="15.75">
      <c r="A8" s="151" t="s">
        <v>15</v>
      </c>
      <c r="B8" s="152" t="s">
        <v>0</v>
      </c>
      <c r="C8" s="153" t="s">
        <v>29</v>
      </c>
    </row>
    <row r="9" spans="1:3" ht="12.75" customHeight="1">
      <c r="A9" s="585" t="s">
        <v>224</v>
      </c>
      <c r="B9" s="599" t="s">
        <v>225</v>
      </c>
      <c r="C9" s="582">
        <f>'ORÇA '!J11</f>
        <v>34868.869999999995</v>
      </c>
    </row>
    <row r="10" spans="1:3" ht="14.25" customHeight="1">
      <c r="A10" s="586"/>
      <c r="B10" s="600"/>
      <c r="C10" s="583"/>
    </row>
    <row r="11" spans="1:3" ht="12.75" customHeight="1">
      <c r="A11" s="587"/>
      <c r="B11" s="601"/>
      <c r="C11" s="584"/>
    </row>
    <row r="12" spans="1:3">
      <c r="A12" s="585" t="s">
        <v>26</v>
      </c>
      <c r="B12" s="608" t="s">
        <v>116</v>
      </c>
      <c r="C12" s="582">
        <f>'ORÇA '!J14</f>
        <v>163836.93</v>
      </c>
    </row>
    <row r="13" spans="1:3">
      <c r="A13" s="586"/>
      <c r="B13" s="600"/>
      <c r="C13" s="583"/>
    </row>
    <row r="14" spans="1:3">
      <c r="A14" s="587"/>
      <c r="B14" s="600"/>
      <c r="C14" s="584"/>
    </row>
    <row r="15" spans="1:3">
      <c r="A15" s="585" t="s">
        <v>27</v>
      </c>
      <c r="B15" s="608" t="s">
        <v>107</v>
      </c>
      <c r="C15" s="582">
        <f>'ORÇA '!J21</f>
        <v>51191.29</v>
      </c>
    </row>
    <row r="16" spans="1:3">
      <c r="A16" s="586"/>
      <c r="B16" s="600"/>
      <c r="C16" s="583"/>
    </row>
    <row r="17" spans="1:3">
      <c r="A17" s="587"/>
      <c r="B17" s="601"/>
      <c r="C17" s="584"/>
    </row>
    <row r="18" spans="1:3" ht="12.75" customHeight="1">
      <c r="A18" s="585" t="s">
        <v>312</v>
      </c>
      <c r="B18" s="588" t="s">
        <v>3</v>
      </c>
      <c r="C18" s="582">
        <f>'ORÇA '!J29</f>
        <v>1120228.6299999999</v>
      </c>
    </row>
    <row r="19" spans="1:3" ht="7.5" customHeight="1">
      <c r="A19" s="586"/>
      <c r="B19" s="589"/>
      <c r="C19" s="583"/>
    </row>
    <row r="20" spans="1:3">
      <c r="A20" s="587"/>
      <c r="B20" s="590"/>
      <c r="C20" s="584"/>
    </row>
    <row r="21" spans="1:3" ht="12.75" customHeight="1">
      <c r="A21" s="585" t="s">
        <v>302</v>
      </c>
      <c r="B21" s="599" t="s">
        <v>188</v>
      </c>
      <c r="C21" s="582">
        <f>'ORÇA '!J42</f>
        <v>1217804.17</v>
      </c>
    </row>
    <row r="22" spans="1:3" ht="17.25" customHeight="1">
      <c r="A22" s="586"/>
      <c r="B22" s="609"/>
      <c r="C22" s="583"/>
    </row>
    <row r="23" spans="1:3" ht="17.25" customHeight="1">
      <c r="A23" s="587"/>
      <c r="B23" s="610"/>
      <c r="C23" s="584"/>
    </row>
    <row r="24" spans="1:3" ht="17.25" customHeight="1">
      <c r="A24" s="585" t="s">
        <v>30</v>
      </c>
      <c r="B24" s="599" t="s">
        <v>516</v>
      </c>
      <c r="C24" s="582">
        <f>'ORÇA '!J47</f>
        <v>512565.26</v>
      </c>
    </row>
    <row r="25" spans="1:3" ht="17.25" customHeight="1">
      <c r="A25" s="586"/>
      <c r="B25" s="609"/>
      <c r="C25" s="583"/>
    </row>
    <row r="26" spans="1:3" ht="17.25" customHeight="1">
      <c r="A26" s="587"/>
      <c r="B26" s="610"/>
      <c r="C26" s="584"/>
    </row>
    <row r="27" spans="1:3" ht="17.25" customHeight="1">
      <c r="A27" s="585" t="s">
        <v>91</v>
      </c>
      <c r="B27" s="599" t="s">
        <v>521</v>
      </c>
      <c r="C27" s="582">
        <f>'ORÇA '!J54</f>
        <v>484471.85</v>
      </c>
    </row>
    <row r="28" spans="1:3" ht="17.25" customHeight="1">
      <c r="A28" s="586"/>
      <c r="B28" s="609"/>
      <c r="C28" s="583"/>
    </row>
    <row r="29" spans="1:3" ht="17.25" customHeight="1">
      <c r="A29" s="587"/>
      <c r="B29" s="610"/>
      <c r="C29" s="584"/>
    </row>
    <row r="30" spans="1:3" ht="17.25" customHeight="1">
      <c r="A30" s="585" t="s">
        <v>170</v>
      </c>
      <c r="B30" s="599" t="s">
        <v>190</v>
      </c>
      <c r="C30" s="582">
        <f>'ORÇA '!J60</f>
        <v>30377.58</v>
      </c>
    </row>
    <row r="31" spans="1:3" ht="12.75" customHeight="1">
      <c r="A31" s="586"/>
      <c r="B31" s="609"/>
      <c r="C31" s="583"/>
    </row>
    <row r="32" spans="1:3" ht="12.75" customHeight="1">
      <c r="A32" s="587"/>
      <c r="B32" s="610"/>
      <c r="C32" s="584"/>
    </row>
    <row r="33" spans="1:3" ht="12.75" customHeight="1">
      <c r="A33" s="585" t="s">
        <v>173</v>
      </c>
      <c r="B33" s="613" t="s">
        <v>194</v>
      </c>
      <c r="C33" s="582">
        <f>'ORÇA '!J68</f>
        <v>1447103.67</v>
      </c>
    </row>
    <row r="34" spans="1:3" ht="12.75" customHeight="1">
      <c r="A34" s="586"/>
      <c r="B34" s="589"/>
      <c r="C34" s="583"/>
    </row>
    <row r="35" spans="1:3" ht="12.75" customHeight="1">
      <c r="A35" s="587"/>
      <c r="B35" s="590"/>
      <c r="C35" s="584"/>
    </row>
    <row r="36" spans="1:3" ht="12.75" customHeight="1">
      <c r="A36" s="585" t="s">
        <v>216</v>
      </c>
      <c r="B36" s="588" t="s">
        <v>6</v>
      </c>
      <c r="C36" s="582">
        <f>'ORÇA '!J82</f>
        <v>289692.60000000003</v>
      </c>
    </row>
    <row r="37" spans="1:3" ht="12.75" customHeight="1">
      <c r="A37" s="586"/>
      <c r="B37" s="589"/>
      <c r="C37" s="583"/>
    </row>
    <row r="38" spans="1:3" ht="12.75" customHeight="1">
      <c r="A38" s="587"/>
      <c r="B38" s="590"/>
      <c r="C38" s="584"/>
    </row>
    <row r="39" spans="1:3" ht="12.75" customHeight="1">
      <c r="A39" s="585" t="s">
        <v>227</v>
      </c>
      <c r="B39" s="588" t="s">
        <v>374</v>
      </c>
      <c r="C39" s="582">
        <f>'ORÇA '!J86</f>
        <v>234898.12</v>
      </c>
    </row>
    <row r="40" spans="1:3" ht="12.75" customHeight="1">
      <c r="A40" s="586"/>
      <c r="B40" s="589"/>
      <c r="C40" s="583"/>
    </row>
    <row r="41" spans="1:3" ht="12.75" customHeight="1">
      <c r="A41" s="587"/>
      <c r="B41" s="590"/>
      <c r="C41" s="584"/>
    </row>
    <row r="42" spans="1:3" ht="12.75" customHeight="1">
      <c r="A42" s="585" t="s">
        <v>607</v>
      </c>
      <c r="B42" s="588" t="s">
        <v>255</v>
      </c>
      <c r="C42" s="582">
        <f>'ORÇA '!J90</f>
        <v>71363.51999999999</v>
      </c>
    </row>
    <row r="43" spans="1:3" ht="12.75" customHeight="1">
      <c r="A43" s="586"/>
      <c r="B43" s="589"/>
      <c r="C43" s="583"/>
    </row>
    <row r="44" spans="1:3" ht="12.75" customHeight="1">
      <c r="A44" s="587"/>
      <c r="B44" s="590"/>
      <c r="C44" s="584"/>
    </row>
    <row r="45" spans="1:3" ht="12.75" customHeight="1">
      <c r="A45" s="585" t="s">
        <v>569</v>
      </c>
      <c r="B45" s="588" t="s">
        <v>131</v>
      </c>
      <c r="C45" s="582">
        <f>'ORÇA '!J106</f>
        <v>578584.76</v>
      </c>
    </row>
    <row r="46" spans="1:3" ht="12.75" customHeight="1">
      <c r="A46" s="586"/>
      <c r="B46" s="589"/>
      <c r="C46" s="583"/>
    </row>
    <row r="47" spans="1:3" ht="12.75" customHeight="1">
      <c r="A47" s="587"/>
      <c r="B47" s="590"/>
      <c r="C47" s="584"/>
    </row>
    <row r="48" spans="1:3">
      <c r="A48" s="585" t="s">
        <v>568</v>
      </c>
      <c r="B48" s="588" t="s">
        <v>562</v>
      </c>
      <c r="C48" s="582">
        <f>'ORÇA '!J110</f>
        <v>62631.199999999997</v>
      </c>
    </row>
    <row r="49" spans="1:3">
      <c r="A49" s="586"/>
      <c r="B49" s="589"/>
      <c r="C49" s="583"/>
    </row>
    <row r="50" spans="1:3">
      <c r="A50" s="587"/>
      <c r="B50" s="590"/>
      <c r="C50" s="584"/>
    </row>
    <row r="51" spans="1:3">
      <c r="A51" s="614" t="s">
        <v>31</v>
      </c>
      <c r="B51" s="615"/>
      <c r="C51" s="620">
        <f>SUM(C9:C50)</f>
        <v>6299618.4499999993</v>
      </c>
    </row>
    <row r="52" spans="1:3">
      <c r="A52" s="616"/>
      <c r="B52" s="617"/>
      <c r="C52" s="621"/>
    </row>
    <row r="53" spans="1:3">
      <c r="A53" s="618"/>
      <c r="B53" s="619"/>
      <c r="C53" s="622"/>
    </row>
    <row r="54" spans="1:3" ht="12.75" customHeight="1">
      <c r="A54" s="188" t="s">
        <v>311</v>
      </c>
      <c r="B54" s="356"/>
      <c r="C54" s="182">
        <v>2.6538530000000002</v>
      </c>
    </row>
    <row r="55" spans="1:3" ht="15.75">
      <c r="A55" s="611" t="s">
        <v>310</v>
      </c>
      <c r="B55" s="612"/>
      <c r="C55" s="281">
        <f>C51/C54</f>
        <v>2373763.1473936192</v>
      </c>
    </row>
    <row r="56" spans="1:3" ht="12.75" customHeight="1">
      <c r="A56" s="355"/>
      <c r="B56" s="154"/>
      <c r="C56" s="161"/>
    </row>
    <row r="57" spans="1:3">
      <c r="A57" s="602" t="s">
        <v>612</v>
      </c>
      <c r="B57" s="603"/>
      <c r="C57" s="604"/>
    </row>
    <row r="58" spans="1:3" ht="39.75" customHeight="1">
      <c r="A58" s="605" t="s">
        <v>350</v>
      </c>
      <c r="B58" s="606"/>
      <c r="C58" s="607"/>
    </row>
    <row r="59" spans="1:3" ht="13.5" thickBot="1">
      <c r="A59" s="155" t="s">
        <v>313</v>
      </c>
      <c r="B59" s="222"/>
      <c r="C59" s="223"/>
    </row>
    <row r="61" spans="1:3" ht="15.75">
      <c r="A61" s="102"/>
    </row>
    <row r="62" spans="1:3" ht="15.75">
      <c r="A62" s="102"/>
    </row>
  </sheetData>
  <mergeCells count="51">
    <mergeCell ref="C51:C53"/>
    <mergeCell ref="B48:B50"/>
    <mergeCell ref="C48:C50"/>
    <mergeCell ref="A39:A41"/>
    <mergeCell ref="A42:A44"/>
    <mergeCell ref="B42:B44"/>
    <mergeCell ref="A55:B55"/>
    <mergeCell ref="B36:B38"/>
    <mergeCell ref="A36:A38"/>
    <mergeCell ref="A21:A23"/>
    <mergeCell ref="A48:A50"/>
    <mergeCell ref="A33:A35"/>
    <mergeCell ref="B33:B35"/>
    <mergeCell ref="B39:B41"/>
    <mergeCell ref="A51:B53"/>
    <mergeCell ref="C12:C14"/>
    <mergeCell ref="A15:A17"/>
    <mergeCell ref="B15:B17"/>
    <mergeCell ref="C15:C17"/>
    <mergeCell ref="A12:A14"/>
    <mergeCell ref="B12:B14"/>
    <mergeCell ref="C18:C20"/>
    <mergeCell ref="A57:C57"/>
    <mergeCell ref="A58:C58"/>
    <mergeCell ref="C21:C23"/>
    <mergeCell ref="C33:C35"/>
    <mergeCell ref="C36:C38"/>
    <mergeCell ref="C39:C41"/>
    <mergeCell ref="C30:C32"/>
    <mergeCell ref="C24:C26"/>
    <mergeCell ref="A18:A20"/>
    <mergeCell ref="B18:B20"/>
    <mergeCell ref="B21:B23"/>
    <mergeCell ref="A30:A32"/>
    <mergeCell ref="B30:B32"/>
    <mergeCell ref="A24:A26"/>
    <mergeCell ref="B24:B26"/>
    <mergeCell ref="A2:C2"/>
    <mergeCell ref="A3:C4"/>
    <mergeCell ref="B5:B7"/>
    <mergeCell ref="A5:A7"/>
    <mergeCell ref="A9:A11"/>
    <mergeCell ref="B9:B11"/>
    <mergeCell ref="C9:C11"/>
    <mergeCell ref="C27:C29"/>
    <mergeCell ref="A45:A47"/>
    <mergeCell ref="B45:B47"/>
    <mergeCell ref="C45:C47"/>
    <mergeCell ref="C42:C44"/>
    <mergeCell ref="A27:A29"/>
    <mergeCell ref="B27:B2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104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6"/>
  <dimension ref="A1:U52"/>
  <sheetViews>
    <sheetView zoomScaleNormal="100" workbookViewId="0">
      <selection activeCell="A2" sqref="A2:J2"/>
    </sheetView>
  </sheetViews>
  <sheetFormatPr defaultRowHeight="12.75"/>
  <cols>
    <col min="1" max="1" width="22.42578125" customWidth="1"/>
    <col min="2" max="2" width="36.140625" bestFit="1" customWidth="1"/>
    <col min="3" max="3" width="9.42578125" bestFit="1" customWidth="1"/>
    <col min="4" max="4" width="10.5703125" customWidth="1"/>
    <col min="5" max="5" width="10.7109375" customWidth="1"/>
    <col min="6" max="6" width="11.7109375" customWidth="1"/>
    <col min="7" max="8" width="9.42578125" bestFit="1" customWidth="1"/>
    <col min="9" max="9" width="11.140625" bestFit="1" customWidth="1"/>
    <col min="10" max="10" width="17.7109375" customWidth="1"/>
    <col min="13" max="13" width="9.140625" customWidth="1"/>
    <col min="14" max="14" width="13.5703125" customWidth="1"/>
    <col min="15" max="15" width="9.7109375" bestFit="1" customWidth="1"/>
  </cols>
  <sheetData>
    <row r="1" spans="1:12">
      <c r="A1" s="91" t="s">
        <v>81</v>
      </c>
      <c r="B1" s="91"/>
      <c r="C1" s="92"/>
      <c r="D1" s="92"/>
      <c r="E1" s="92"/>
      <c r="F1" s="92"/>
      <c r="G1" s="92"/>
      <c r="H1" s="92"/>
      <c r="I1" s="92"/>
      <c r="J1" s="93"/>
    </row>
    <row r="2" spans="1:12">
      <c r="A2" s="854" t="s">
        <v>612</v>
      </c>
      <c r="B2" s="855"/>
      <c r="C2" s="855"/>
      <c r="D2" s="855"/>
      <c r="E2" s="855"/>
      <c r="F2" s="855"/>
      <c r="G2" s="855"/>
      <c r="H2" s="855"/>
      <c r="I2" s="855"/>
      <c r="J2" s="856"/>
    </row>
    <row r="3" spans="1:12" ht="28.5" customHeight="1">
      <c r="A3" s="848" t="s">
        <v>350</v>
      </c>
      <c r="B3" s="849"/>
      <c r="C3" s="849"/>
      <c r="D3" s="849"/>
      <c r="E3" s="849"/>
      <c r="F3" s="849"/>
      <c r="G3" s="849"/>
      <c r="H3" s="849"/>
      <c r="I3" s="849"/>
      <c r="J3" s="850"/>
    </row>
    <row r="4" spans="1:12">
      <c r="A4" s="857" t="s">
        <v>132</v>
      </c>
      <c r="B4" s="858"/>
      <c r="C4" s="858"/>
      <c r="D4" s="858"/>
      <c r="E4" s="858"/>
      <c r="F4" s="858"/>
      <c r="G4" s="858"/>
      <c r="H4" s="858"/>
      <c r="I4" s="858"/>
      <c r="J4" s="859"/>
    </row>
    <row r="5" spans="1:12">
      <c r="A5" s="860"/>
      <c r="B5" s="861"/>
      <c r="C5" s="861"/>
      <c r="D5" s="861"/>
      <c r="E5" s="861"/>
      <c r="F5" s="861"/>
      <c r="G5" s="861"/>
      <c r="H5" s="861"/>
      <c r="I5" s="861"/>
      <c r="J5" s="862"/>
    </row>
    <row r="6" spans="1:12" ht="26.25" customHeight="1">
      <c r="A6" s="863" t="s">
        <v>314</v>
      </c>
      <c r="B6" s="864"/>
      <c r="C6" s="851" t="s">
        <v>176</v>
      </c>
      <c r="D6" s="851" t="s">
        <v>133</v>
      </c>
      <c r="E6" s="106" t="s">
        <v>134</v>
      </c>
      <c r="F6" s="106" t="s">
        <v>135</v>
      </c>
      <c r="G6" s="106" t="s">
        <v>136</v>
      </c>
      <c r="H6" s="106" t="s">
        <v>137</v>
      </c>
      <c r="I6" s="106" t="s">
        <v>138</v>
      </c>
      <c r="J6" s="162" t="s">
        <v>139</v>
      </c>
    </row>
    <row r="7" spans="1:12" ht="25.5">
      <c r="A7" s="865"/>
      <c r="B7" s="866"/>
      <c r="C7" s="851"/>
      <c r="D7" s="851"/>
      <c r="E7" s="107" t="s">
        <v>140</v>
      </c>
      <c r="F7" s="107" t="s">
        <v>141</v>
      </c>
      <c r="G7" s="107" t="s">
        <v>142</v>
      </c>
      <c r="H7" s="107" t="s">
        <v>143</v>
      </c>
      <c r="I7" s="107" t="s">
        <v>156</v>
      </c>
      <c r="J7" s="162"/>
    </row>
    <row r="8" spans="1:12">
      <c r="A8" s="198" t="s">
        <v>330</v>
      </c>
      <c r="B8" s="108"/>
      <c r="C8" s="99"/>
      <c r="D8" s="171"/>
      <c r="E8" s="109"/>
      <c r="F8" s="99"/>
      <c r="G8" s="99"/>
      <c r="H8" s="99"/>
      <c r="I8" s="99"/>
      <c r="J8" s="99"/>
    </row>
    <row r="9" spans="1:12">
      <c r="A9" s="197"/>
      <c r="B9" s="108"/>
      <c r="C9" s="104"/>
      <c r="D9" s="171"/>
      <c r="E9" s="171"/>
      <c r="F9" s="99"/>
      <c r="G9" s="99"/>
      <c r="H9" s="99"/>
      <c r="I9" s="99"/>
      <c r="J9" s="99"/>
    </row>
    <row r="10" spans="1:12" ht="12.75" customHeight="1">
      <c r="A10" s="867" t="s">
        <v>370</v>
      </c>
      <c r="B10" s="108" t="s">
        <v>177</v>
      </c>
      <c r="C10" s="104">
        <v>40</v>
      </c>
      <c r="D10" s="171">
        <v>0.6</v>
      </c>
      <c r="E10" s="171">
        <v>1.4</v>
      </c>
      <c r="F10" s="199">
        <v>1.6</v>
      </c>
      <c r="G10" s="199">
        <v>1.6</v>
      </c>
      <c r="H10" s="99">
        <f>SUM(F10:G10)/2</f>
        <v>1.6</v>
      </c>
      <c r="I10" s="99">
        <f>SUM(C10*E10*H10)</f>
        <v>89.600000000000009</v>
      </c>
      <c r="J10" s="99">
        <f>SUM(C10*E10)</f>
        <v>56</v>
      </c>
      <c r="L10" s="340"/>
    </row>
    <row r="11" spans="1:12">
      <c r="A11" s="869"/>
      <c r="B11" s="108" t="s">
        <v>177</v>
      </c>
      <c r="C11" s="104">
        <v>49</v>
      </c>
      <c r="D11" s="171">
        <v>0.8</v>
      </c>
      <c r="E11" s="171">
        <v>1.6</v>
      </c>
      <c r="F11" s="199">
        <v>1.8</v>
      </c>
      <c r="G11" s="199">
        <v>1.8</v>
      </c>
      <c r="H11" s="99">
        <v>1.8</v>
      </c>
      <c r="I11" s="99">
        <f>SUM(C11*E11*H11)</f>
        <v>141.12</v>
      </c>
      <c r="J11" s="99">
        <f>SUM(C11*E11)</f>
        <v>78.400000000000006</v>
      </c>
      <c r="L11" s="340"/>
    </row>
    <row r="12" spans="1:12">
      <c r="A12" s="335"/>
      <c r="B12" s="108"/>
      <c r="C12" s="104"/>
      <c r="D12" s="171"/>
      <c r="E12" s="171"/>
      <c r="F12" s="199"/>
      <c r="G12" s="199"/>
      <c r="H12" s="99"/>
      <c r="I12" s="99"/>
      <c r="J12" s="99"/>
    </row>
    <row r="13" spans="1:12" ht="12.75" customHeight="1">
      <c r="A13" s="337" t="s">
        <v>353</v>
      </c>
      <c r="B13" s="108" t="s">
        <v>177</v>
      </c>
      <c r="C13" s="104">
        <v>53</v>
      </c>
      <c r="D13" s="171">
        <v>0.6</v>
      </c>
      <c r="E13" s="171">
        <v>1.4</v>
      </c>
      <c r="F13" s="199">
        <v>1.6</v>
      </c>
      <c r="G13" s="199">
        <v>1.6</v>
      </c>
      <c r="H13" s="99">
        <f>SUM(F13:G13)/2</f>
        <v>1.6</v>
      </c>
      <c r="I13" s="99">
        <f>SUM(C13*E13*H13)</f>
        <v>118.71999999999998</v>
      </c>
      <c r="J13" s="99">
        <f>SUM(C13*E13)</f>
        <v>74.199999999999989</v>
      </c>
    </row>
    <row r="14" spans="1:12">
      <c r="A14" s="335"/>
      <c r="B14" s="108"/>
      <c r="C14" s="104"/>
      <c r="D14" s="171"/>
      <c r="E14" s="171"/>
      <c r="F14" s="199"/>
      <c r="G14" s="199"/>
      <c r="H14" s="99"/>
      <c r="I14" s="99"/>
      <c r="J14" s="99"/>
      <c r="L14" s="340"/>
    </row>
    <row r="15" spans="1:12">
      <c r="A15" s="867" t="s">
        <v>369</v>
      </c>
      <c r="B15" s="108" t="s">
        <v>177</v>
      </c>
      <c r="C15" s="104">
        <v>47</v>
      </c>
      <c r="D15" s="171">
        <v>0.8</v>
      </c>
      <c r="E15" s="171">
        <v>1.6</v>
      </c>
      <c r="F15" s="199">
        <v>1.8</v>
      </c>
      <c r="G15" s="199">
        <v>1.8</v>
      </c>
      <c r="H15" s="99">
        <f>SUM(F15:G15)/2</f>
        <v>1.8</v>
      </c>
      <c r="I15" s="99">
        <f>SUM(C15*E15*H15)</f>
        <v>135.36000000000001</v>
      </c>
      <c r="J15" s="99">
        <f>SUM(C15*E15)</f>
        <v>75.2</v>
      </c>
      <c r="L15" s="340"/>
    </row>
    <row r="16" spans="1:12">
      <c r="A16" s="869"/>
      <c r="B16" s="108" t="s">
        <v>177</v>
      </c>
      <c r="C16" s="104">
        <v>58</v>
      </c>
      <c r="D16" s="171">
        <v>0.8</v>
      </c>
      <c r="E16" s="171">
        <v>1.6</v>
      </c>
      <c r="F16" s="199">
        <v>1.8</v>
      </c>
      <c r="G16" s="199">
        <v>1.8</v>
      </c>
      <c r="H16" s="99">
        <f>SUM(F16:G16)/2</f>
        <v>1.8</v>
      </c>
      <c r="I16" s="99">
        <f>SUM(C16*E16*H16)</f>
        <v>167.04000000000002</v>
      </c>
      <c r="J16" s="99">
        <f>SUM(C16*E16)</f>
        <v>92.800000000000011</v>
      </c>
    </row>
    <row r="17" spans="1:12">
      <c r="A17" s="335"/>
      <c r="B17" s="108"/>
      <c r="C17" s="104"/>
      <c r="D17" s="171"/>
      <c r="E17" s="171"/>
      <c r="F17" s="199"/>
      <c r="G17" s="199"/>
      <c r="H17" s="99"/>
      <c r="I17" s="99"/>
      <c r="J17" s="99"/>
    </row>
    <row r="18" spans="1:12">
      <c r="A18" s="337" t="s">
        <v>369</v>
      </c>
      <c r="B18" s="108" t="s">
        <v>177</v>
      </c>
      <c r="C18" s="104">
        <v>95</v>
      </c>
      <c r="D18" s="171">
        <v>0.8</v>
      </c>
      <c r="E18" s="171">
        <v>1.6</v>
      </c>
      <c r="F18" s="199">
        <v>1.8</v>
      </c>
      <c r="G18" s="199">
        <v>1.573</v>
      </c>
      <c r="H18" s="99">
        <f>SUM(F18:G18)/2</f>
        <v>1.6865000000000001</v>
      </c>
      <c r="I18" s="99">
        <f>SUM(C18*E18*H18)</f>
        <v>256.34800000000001</v>
      </c>
      <c r="J18" s="99">
        <f>SUM(C18*E18)</f>
        <v>152</v>
      </c>
      <c r="L18" s="340"/>
    </row>
    <row r="19" spans="1:12">
      <c r="A19" s="333"/>
      <c r="B19" s="338"/>
      <c r="C19" s="104"/>
      <c r="D19" s="171"/>
      <c r="E19" s="171"/>
      <c r="F19" s="199"/>
      <c r="G19" s="199"/>
      <c r="H19" s="99"/>
      <c r="I19" s="99"/>
      <c r="J19" s="99"/>
      <c r="L19" s="340"/>
    </row>
    <row r="20" spans="1:12">
      <c r="A20" s="867" t="s">
        <v>369</v>
      </c>
      <c r="B20" s="108" t="s">
        <v>177</v>
      </c>
      <c r="C20" s="104">
        <v>54</v>
      </c>
      <c r="D20" s="171">
        <v>0.6</v>
      </c>
      <c r="E20" s="171">
        <v>1.4</v>
      </c>
      <c r="F20" s="199">
        <v>1.6</v>
      </c>
      <c r="G20" s="199">
        <v>1.6</v>
      </c>
      <c r="H20" s="99">
        <f>SUM(F20:G20)/2</f>
        <v>1.6</v>
      </c>
      <c r="I20" s="99">
        <f>SUM(C20*E20*H20)</f>
        <v>120.96</v>
      </c>
      <c r="J20" s="99">
        <f>SUM(C20*E20)</f>
        <v>75.599999999999994</v>
      </c>
      <c r="L20" s="340"/>
    </row>
    <row r="21" spans="1:12">
      <c r="A21" s="868"/>
      <c r="B21" s="108" t="s">
        <v>177</v>
      </c>
      <c r="C21" s="104">
        <v>40</v>
      </c>
      <c r="D21" s="171">
        <v>0.8</v>
      </c>
      <c r="E21" s="171">
        <v>1.6</v>
      </c>
      <c r="F21" s="199">
        <v>1.6</v>
      </c>
      <c r="G21" s="199">
        <v>1.7090000000000001</v>
      </c>
      <c r="H21" s="99">
        <f>SUM(F21:G21)/2</f>
        <v>1.6545000000000001</v>
      </c>
      <c r="I21" s="99">
        <f>SUM(C21*E21*H21)</f>
        <v>105.88800000000001</v>
      </c>
      <c r="J21" s="99">
        <f>SUM(C21*E21)</f>
        <v>64</v>
      </c>
    </row>
    <row r="22" spans="1:12">
      <c r="A22" s="868"/>
      <c r="B22" s="108" t="s">
        <v>177</v>
      </c>
      <c r="C22" s="104">
        <v>50</v>
      </c>
      <c r="D22" s="171">
        <v>0.8</v>
      </c>
      <c r="E22" s="171">
        <v>3.2</v>
      </c>
      <c r="F22" s="199">
        <v>1.8</v>
      </c>
      <c r="G22" s="199">
        <v>0</v>
      </c>
      <c r="H22" s="99">
        <f>SUM(F22:G22)/2</f>
        <v>0.9</v>
      </c>
      <c r="I22" s="99">
        <f>SUM(C22*E22*H22)</f>
        <v>144</v>
      </c>
      <c r="J22" s="99">
        <f>SUM(C22*E22)</f>
        <v>160</v>
      </c>
      <c r="L22" s="340"/>
    </row>
    <row r="23" spans="1:12">
      <c r="A23" s="339"/>
      <c r="B23" s="334"/>
      <c r="C23" s="99"/>
      <c r="D23" s="171"/>
      <c r="E23" s="171"/>
      <c r="F23" s="199"/>
      <c r="G23" s="199"/>
      <c r="H23" s="99"/>
      <c r="I23" s="99"/>
      <c r="J23" s="99"/>
    </row>
    <row r="24" spans="1:12" ht="15">
      <c r="A24" s="336" t="s">
        <v>305</v>
      </c>
      <c r="B24" s="334" t="s">
        <v>304</v>
      </c>
      <c r="C24" s="276">
        <f>(C27+C28+C29)*6</f>
        <v>234</v>
      </c>
      <c r="D24" s="200">
        <v>60</v>
      </c>
      <c r="E24" s="171">
        <v>1.4</v>
      </c>
      <c r="F24" s="199">
        <v>1.6</v>
      </c>
      <c r="G24" s="199">
        <v>4.5</v>
      </c>
      <c r="H24" s="99">
        <v>1.6140000000000001</v>
      </c>
      <c r="I24" s="99">
        <f>SUM(C24*E24*H24)</f>
        <v>528.74639999999999</v>
      </c>
      <c r="J24" s="99">
        <f>SUM(C24*E24)</f>
        <v>327.59999999999997</v>
      </c>
    </row>
    <row r="25" spans="1:12" ht="15">
      <c r="A25" s="288"/>
      <c r="B25" s="289"/>
      <c r="C25" s="200"/>
      <c r="D25" s="200"/>
      <c r="E25" s="109"/>
      <c r="F25" s="201"/>
      <c r="G25" s="201"/>
      <c r="H25" s="99"/>
      <c r="I25" s="99"/>
      <c r="J25" s="99"/>
      <c r="L25" s="340"/>
    </row>
    <row r="26" spans="1:12" ht="15">
      <c r="A26" s="288"/>
      <c r="B26" s="289"/>
      <c r="C26" s="200"/>
      <c r="D26" s="200"/>
      <c r="E26" s="109"/>
      <c r="F26" s="201"/>
      <c r="G26" s="201"/>
      <c r="H26" s="99"/>
      <c r="I26" s="99"/>
      <c r="J26" s="99"/>
      <c r="L26" s="340"/>
    </row>
    <row r="27" spans="1:12">
      <c r="A27" s="288"/>
      <c r="B27" s="290" t="s">
        <v>144</v>
      </c>
      <c r="C27" s="253">
        <v>23</v>
      </c>
      <c r="D27" s="254">
        <v>1.6</v>
      </c>
      <c r="E27" s="255">
        <v>2.2000000000000002</v>
      </c>
      <c r="F27" s="253"/>
      <c r="G27" s="253"/>
      <c r="H27" s="253">
        <v>1.7</v>
      </c>
      <c r="I27" s="253">
        <f>C27*D27*E27*H27</f>
        <v>137.63200000000003</v>
      </c>
      <c r="J27" s="256">
        <f>C27*E27</f>
        <v>50.6</v>
      </c>
      <c r="L27" s="340"/>
    </row>
    <row r="28" spans="1:12">
      <c r="A28" s="288"/>
      <c r="B28" s="290" t="s">
        <v>295</v>
      </c>
      <c r="C28" s="253">
        <v>16</v>
      </c>
      <c r="D28" s="254">
        <v>1.6</v>
      </c>
      <c r="E28" s="255">
        <v>3.2</v>
      </c>
      <c r="F28" s="253">
        <v>0</v>
      </c>
      <c r="G28" s="253">
        <v>0</v>
      </c>
      <c r="H28" s="253">
        <v>1.7</v>
      </c>
      <c r="I28" s="253">
        <f>C28*D28*E28*H28</f>
        <v>139.26400000000001</v>
      </c>
      <c r="J28" s="256">
        <f>C28*E28</f>
        <v>51.2</v>
      </c>
    </row>
    <row r="29" spans="1:12">
      <c r="A29" s="288"/>
      <c r="B29" s="290" t="s">
        <v>296</v>
      </c>
      <c r="C29" s="257">
        <v>0</v>
      </c>
      <c r="D29" s="254">
        <v>1.6</v>
      </c>
      <c r="E29" s="255">
        <v>4.2</v>
      </c>
      <c r="F29" s="253">
        <v>0</v>
      </c>
      <c r="G29" s="253">
        <v>0</v>
      </c>
      <c r="H29" s="253">
        <v>1.7</v>
      </c>
      <c r="I29" s="253">
        <f>C29*D29*E29*H29</f>
        <v>0</v>
      </c>
      <c r="J29" s="256">
        <f>C29*E29</f>
        <v>0</v>
      </c>
    </row>
    <row r="30" spans="1:12" ht="15">
      <c r="A30" s="288"/>
      <c r="B30" s="289"/>
      <c r="C30" s="200"/>
      <c r="D30" s="200"/>
      <c r="E30" s="109"/>
      <c r="F30" s="201"/>
      <c r="G30" s="201"/>
      <c r="H30" s="99"/>
      <c r="I30" s="99"/>
      <c r="J30" s="99"/>
    </row>
    <row r="31" spans="1:12">
      <c r="A31" s="113"/>
      <c r="B31" s="289"/>
      <c r="C31" s="99"/>
      <c r="D31" s="109"/>
      <c r="E31" s="109"/>
      <c r="F31" s="99"/>
      <c r="G31" s="99"/>
      <c r="H31" s="99"/>
      <c r="I31" s="99"/>
      <c r="J31" s="99"/>
    </row>
    <row r="32" spans="1:12">
      <c r="A32" s="852"/>
      <c r="B32" s="289" t="s">
        <v>145</v>
      </c>
      <c r="C32" s="110"/>
      <c r="D32" s="109"/>
      <c r="E32" s="111"/>
      <c r="F32" s="110"/>
      <c r="G32" s="110"/>
      <c r="H32" s="110"/>
      <c r="I32" s="94">
        <f>SUM(I10:I29)</f>
        <v>2084.6784000000002</v>
      </c>
      <c r="J32" s="112"/>
    </row>
    <row r="33" spans="1:21">
      <c r="A33" s="853"/>
      <c r="B33" s="289" t="s">
        <v>146</v>
      </c>
      <c r="C33" s="110"/>
      <c r="D33" s="114"/>
      <c r="E33" s="111"/>
      <c r="F33" s="110"/>
      <c r="G33" s="110"/>
      <c r="H33" s="110"/>
      <c r="I33" s="94"/>
      <c r="J33" s="116">
        <f>SUM(J8:J29)</f>
        <v>1257.5999999999999</v>
      </c>
    </row>
    <row r="34" spans="1:21">
      <c r="A34" s="852"/>
      <c r="B34" s="108" t="s">
        <v>303</v>
      </c>
      <c r="C34" s="110">
        <v>0</v>
      </c>
      <c r="D34" s="115">
        <f>1.6*2.3*1*C34</f>
        <v>0</v>
      </c>
      <c r="E34" s="99" t="s">
        <v>8</v>
      </c>
      <c r="F34" s="110"/>
      <c r="G34" s="110"/>
      <c r="H34" s="110"/>
      <c r="I34" s="110"/>
      <c r="J34" s="116"/>
    </row>
    <row r="35" spans="1:21">
      <c r="A35" s="852"/>
      <c r="B35" s="108" t="s">
        <v>220</v>
      </c>
      <c r="C35" s="110">
        <v>1</v>
      </c>
      <c r="D35" s="115">
        <v>8.34</v>
      </c>
      <c r="E35" s="99" t="s">
        <v>8</v>
      </c>
      <c r="F35" s="872"/>
      <c r="G35" s="873"/>
      <c r="H35" s="873"/>
      <c r="I35" s="873"/>
      <c r="J35" s="874"/>
    </row>
    <row r="36" spans="1:21" ht="15" customHeight="1">
      <c r="A36" s="852"/>
      <c r="B36" s="108" t="s">
        <v>147</v>
      </c>
      <c r="C36" s="110">
        <v>9</v>
      </c>
      <c r="D36" s="115">
        <f>2.3*1.9*2.7*C36</f>
        <v>106.191</v>
      </c>
      <c r="E36" s="99"/>
      <c r="F36" s="875"/>
      <c r="G36" s="876"/>
      <c r="H36" s="876"/>
      <c r="I36" s="876"/>
      <c r="J36" s="877"/>
    </row>
    <row r="37" spans="1:21">
      <c r="A37" s="852"/>
      <c r="B37" s="117" t="s">
        <v>178</v>
      </c>
      <c r="C37" s="110">
        <f>C24</f>
        <v>234</v>
      </c>
      <c r="D37" s="115">
        <f>0.76^2*3.1416*C37/4</f>
        <v>106.15340736</v>
      </c>
      <c r="E37" s="99" t="s">
        <v>4</v>
      </c>
      <c r="F37" s="875"/>
      <c r="G37" s="876"/>
      <c r="H37" s="876"/>
      <c r="I37" s="876"/>
      <c r="J37" s="877"/>
    </row>
    <row r="38" spans="1:21">
      <c r="A38" s="852"/>
      <c r="B38" s="117" t="s">
        <v>148</v>
      </c>
      <c r="C38" s="110">
        <v>146</v>
      </c>
      <c r="D38" s="115">
        <f>0.76^2*3.1416*C38/4</f>
        <v>66.232467839999998</v>
      </c>
      <c r="E38" s="99" t="s">
        <v>4</v>
      </c>
      <c r="F38" s="875"/>
      <c r="G38" s="876"/>
      <c r="H38" s="876"/>
      <c r="I38" s="876"/>
      <c r="J38" s="877"/>
      <c r="M38" s="871" t="s">
        <v>239</v>
      </c>
      <c r="N38" s="871"/>
    </row>
    <row r="39" spans="1:21">
      <c r="A39" s="852"/>
      <c r="B39" s="117" t="s">
        <v>149</v>
      </c>
      <c r="C39" s="118">
        <v>388</v>
      </c>
      <c r="D39" s="115">
        <f>1^2*3.1416*C39/4</f>
        <v>304.73520000000002</v>
      </c>
      <c r="E39" s="99" t="s">
        <v>4</v>
      </c>
      <c r="F39" s="875"/>
      <c r="G39" s="876"/>
      <c r="H39" s="876"/>
      <c r="I39" s="876"/>
      <c r="J39" s="877"/>
      <c r="M39" s="871" t="s">
        <v>240</v>
      </c>
      <c r="N39" s="871" t="s">
        <v>241</v>
      </c>
      <c r="O39" t="s">
        <v>242</v>
      </c>
      <c r="P39" t="s">
        <v>243</v>
      </c>
      <c r="Q39" t="s">
        <v>244</v>
      </c>
      <c r="R39" t="s">
        <v>245</v>
      </c>
      <c r="T39" s="202" t="s">
        <v>246</v>
      </c>
      <c r="U39" s="202"/>
    </row>
    <row r="40" spans="1:21">
      <c r="A40" s="852"/>
      <c r="B40" s="117" t="s">
        <v>150</v>
      </c>
      <c r="C40" s="118">
        <v>0</v>
      </c>
      <c r="D40" s="115">
        <f>1.24^2*3.1416*C40/4</f>
        <v>0</v>
      </c>
      <c r="E40" s="99" t="s">
        <v>4</v>
      </c>
      <c r="F40" s="875"/>
      <c r="G40" s="876"/>
      <c r="H40" s="876"/>
      <c r="I40" s="876"/>
      <c r="J40" s="877"/>
      <c r="M40" s="870"/>
      <c r="N40" s="870"/>
      <c r="O40" s="202"/>
      <c r="P40" s="203"/>
      <c r="Q40" s="203"/>
      <c r="R40" s="204"/>
      <c r="S40" s="204"/>
      <c r="T40" s="202"/>
      <c r="U40" s="202"/>
    </row>
    <row r="41" spans="1:21">
      <c r="A41" s="852"/>
      <c r="B41" s="117" t="s">
        <v>151</v>
      </c>
      <c r="C41" s="110">
        <v>0</v>
      </c>
      <c r="D41" s="115">
        <f>1.46^2*3.1416*C41/4</f>
        <v>0</v>
      </c>
      <c r="E41" s="99" t="s">
        <v>4</v>
      </c>
      <c r="F41" s="875"/>
      <c r="G41" s="876"/>
      <c r="H41" s="876"/>
      <c r="I41" s="876"/>
      <c r="J41" s="877"/>
      <c r="M41" s="870">
        <v>0.6</v>
      </c>
      <c r="N41" s="870">
        <v>1.4</v>
      </c>
      <c r="O41" s="202">
        <v>0.08</v>
      </c>
      <c r="P41" s="203">
        <v>0.1</v>
      </c>
      <c r="Q41" s="203">
        <v>0.15</v>
      </c>
      <c r="R41" s="204">
        <v>0.26131135415323647</v>
      </c>
      <c r="S41" s="204"/>
      <c r="T41" s="202">
        <v>0.76</v>
      </c>
      <c r="U41" s="202"/>
    </row>
    <row r="42" spans="1:21">
      <c r="A42" s="852"/>
      <c r="B42" s="117" t="s">
        <v>238</v>
      </c>
      <c r="C42" s="110">
        <v>0</v>
      </c>
      <c r="D42" s="115">
        <f>1.76^2*3.1416*C42/4</f>
        <v>0</v>
      </c>
      <c r="E42" s="99" t="s">
        <v>4</v>
      </c>
      <c r="F42" s="875"/>
      <c r="G42" s="876"/>
      <c r="H42" s="876"/>
      <c r="I42" s="876"/>
      <c r="J42" s="877"/>
      <c r="M42" s="870">
        <v>0.8</v>
      </c>
      <c r="N42" s="870">
        <v>1.6</v>
      </c>
      <c r="O42" s="202">
        <v>0.1</v>
      </c>
      <c r="P42" s="203">
        <v>0.1</v>
      </c>
      <c r="Q42" s="203">
        <v>0.2</v>
      </c>
      <c r="R42" s="204">
        <v>0.32645317547305497</v>
      </c>
      <c r="S42" s="204"/>
      <c r="T42" s="202">
        <v>1</v>
      </c>
      <c r="U42" s="202"/>
    </row>
    <row r="43" spans="1:21">
      <c r="A43" s="852"/>
      <c r="B43" s="117" t="s">
        <v>144</v>
      </c>
      <c r="C43" s="110">
        <f>C27</f>
        <v>23</v>
      </c>
      <c r="D43" s="115">
        <f>I27</f>
        <v>137.63200000000003</v>
      </c>
      <c r="E43" s="99" t="s">
        <v>4</v>
      </c>
      <c r="F43" s="875"/>
      <c r="G43" s="876"/>
      <c r="H43" s="876"/>
      <c r="I43" s="876"/>
      <c r="J43" s="877"/>
      <c r="M43" s="870">
        <v>1</v>
      </c>
      <c r="N43" s="870">
        <v>1.8</v>
      </c>
      <c r="O43" s="202">
        <v>0.12</v>
      </c>
      <c r="P43" s="203">
        <v>0.15</v>
      </c>
      <c r="Q43" s="203">
        <v>0.25</v>
      </c>
      <c r="R43" s="204">
        <v>0.48390640260736917</v>
      </c>
      <c r="S43" s="204"/>
      <c r="T43" s="202">
        <v>1.24</v>
      </c>
      <c r="U43" s="202"/>
    </row>
    <row r="44" spans="1:21">
      <c r="A44" s="852"/>
      <c r="B44" s="117" t="s">
        <v>152</v>
      </c>
      <c r="C44" s="110">
        <f>C28</f>
        <v>16</v>
      </c>
      <c r="D44" s="115">
        <f>I28</f>
        <v>139.26400000000001</v>
      </c>
      <c r="E44" s="99" t="s">
        <v>4</v>
      </c>
      <c r="F44" s="875"/>
      <c r="G44" s="876"/>
      <c r="H44" s="876"/>
      <c r="I44" s="876"/>
      <c r="J44" s="877"/>
      <c r="M44" s="202">
        <v>1.2</v>
      </c>
      <c r="N44" s="202">
        <v>2</v>
      </c>
      <c r="O44" s="202">
        <v>0.13</v>
      </c>
      <c r="P44" s="203">
        <v>0.15</v>
      </c>
      <c r="Q44" s="203">
        <v>0.3</v>
      </c>
      <c r="R44" s="204">
        <v>0.57269958883836369</v>
      </c>
      <c r="S44" s="204"/>
      <c r="T44" s="202">
        <v>1.46</v>
      </c>
      <c r="U44" s="202"/>
    </row>
    <row r="45" spans="1:21">
      <c r="A45" s="852"/>
      <c r="B45" s="117" t="s">
        <v>163</v>
      </c>
      <c r="C45" s="110">
        <f>C29</f>
        <v>0</v>
      </c>
      <c r="D45" s="115">
        <f>I29</f>
        <v>0</v>
      </c>
      <c r="E45" s="99" t="s">
        <v>4</v>
      </c>
      <c r="F45" s="875"/>
      <c r="G45" s="876"/>
      <c r="H45" s="876"/>
      <c r="I45" s="876"/>
      <c r="J45" s="877"/>
      <c r="M45" s="202">
        <v>1.5</v>
      </c>
      <c r="N45" s="202">
        <v>2.2999999999999998</v>
      </c>
      <c r="O45" s="202">
        <v>0.13</v>
      </c>
      <c r="P45" s="203">
        <v>0.15</v>
      </c>
      <c r="Q45" s="203">
        <v>0.375</v>
      </c>
      <c r="R45" s="204">
        <v>0.73187335634533468</v>
      </c>
      <c r="S45" s="204"/>
      <c r="T45" s="202">
        <v>1.76</v>
      </c>
      <c r="U45" s="202"/>
    </row>
    <row r="46" spans="1:21">
      <c r="A46" s="852"/>
      <c r="B46" s="117" t="s">
        <v>154</v>
      </c>
      <c r="C46" s="110"/>
      <c r="D46" s="115">
        <f>'[1]ALTO DA BOA VISTA'!$R$7</f>
        <v>29.762999999999998</v>
      </c>
      <c r="E46" s="99" t="s">
        <v>4</v>
      </c>
      <c r="F46" s="875"/>
      <c r="G46" s="876"/>
      <c r="H46" s="876"/>
      <c r="I46" s="876"/>
      <c r="J46" s="877"/>
    </row>
    <row r="47" spans="1:21">
      <c r="A47" s="852"/>
      <c r="B47" s="117" t="s">
        <v>155</v>
      </c>
      <c r="C47" s="110"/>
      <c r="D47" s="302">
        <v>1712.25</v>
      </c>
      <c r="E47" s="99" t="s">
        <v>4</v>
      </c>
      <c r="F47" s="875"/>
      <c r="G47" s="876"/>
      <c r="H47" s="876"/>
      <c r="I47" s="876"/>
      <c r="J47" s="877"/>
      <c r="M47" s="202">
        <v>0.6</v>
      </c>
      <c r="N47" s="202">
        <v>1.4</v>
      </c>
      <c r="O47" s="202">
        <v>0.08</v>
      </c>
      <c r="P47" s="203">
        <v>0.1</v>
      </c>
      <c r="Q47" s="203">
        <v>0.15</v>
      </c>
      <c r="R47" s="204">
        <v>0.26131135415323647</v>
      </c>
      <c r="S47" s="204"/>
      <c r="T47" s="202">
        <v>0.76</v>
      </c>
      <c r="U47" s="202"/>
    </row>
    <row r="48" spans="1:21">
      <c r="A48" s="852"/>
      <c r="B48" s="119" t="s">
        <v>157</v>
      </c>
      <c r="C48" s="110"/>
      <c r="D48" s="115">
        <f>I32+D43+D44+D45+D34+D35+D36+'[1]ALTO DA BOA VISTA'!$P$7</f>
        <v>2664.0254000000004</v>
      </c>
      <c r="E48" s="99" t="s">
        <v>4</v>
      </c>
      <c r="F48" s="875"/>
      <c r="G48" s="876"/>
      <c r="H48" s="876"/>
      <c r="I48" s="876"/>
      <c r="J48" s="877"/>
      <c r="M48" s="202">
        <v>0.8</v>
      </c>
      <c r="N48" s="202">
        <v>1.6</v>
      </c>
      <c r="O48" s="202">
        <v>0.1</v>
      </c>
      <c r="P48" s="203">
        <v>0.1</v>
      </c>
      <c r="Q48" s="203">
        <v>0.2</v>
      </c>
      <c r="R48" s="204">
        <v>0.32645317547305497</v>
      </c>
      <c r="S48" s="204"/>
      <c r="T48" s="202">
        <v>1</v>
      </c>
      <c r="U48" s="202"/>
    </row>
    <row r="49" spans="1:21">
      <c r="A49" s="852"/>
      <c r="B49" s="119" t="s">
        <v>179</v>
      </c>
      <c r="C49" s="110">
        <v>0</v>
      </c>
      <c r="D49" s="303">
        <f>-D50+D48+D47+'[1]ALTO DA BOA VISTA'!$P$7-'[1]ALTO DA BOA VISTA'!$Q$7</f>
        <v>2900.2620752000003</v>
      </c>
      <c r="E49" s="99" t="s">
        <v>4</v>
      </c>
      <c r="F49" s="875"/>
      <c r="G49" s="876"/>
      <c r="H49" s="876"/>
      <c r="I49" s="876"/>
      <c r="J49" s="877"/>
      <c r="M49" s="202">
        <v>1</v>
      </c>
      <c r="N49" s="202">
        <v>1.8</v>
      </c>
      <c r="O49" s="202">
        <v>0.12</v>
      </c>
      <c r="P49" s="203">
        <v>0.15</v>
      </c>
      <c r="Q49" s="203">
        <v>0.25</v>
      </c>
      <c r="R49" s="204">
        <v>0.483906402607369</v>
      </c>
      <c r="S49" s="204"/>
      <c r="T49" s="202">
        <v>1.24</v>
      </c>
      <c r="U49" s="202"/>
    </row>
    <row r="50" spans="1:21">
      <c r="A50" s="852"/>
      <c r="B50" s="119" t="s">
        <v>180</v>
      </c>
      <c r="C50" s="119"/>
      <c r="D50" s="304">
        <f>(I32-D37-D38-D39-D40-D41-D42)</f>
        <v>1607.5573248000001</v>
      </c>
      <c r="E50" s="99" t="s">
        <v>4</v>
      </c>
      <c r="F50" s="875"/>
      <c r="G50" s="876"/>
      <c r="H50" s="876"/>
      <c r="I50" s="876"/>
      <c r="J50" s="877"/>
      <c r="M50" s="202">
        <v>1.2</v>
      </c>
      <c r="N50" s="202">
        <v>2</v>
      </c>
      <c r="O50" s="202">
        <v>0.13</v>
      </c>
      <c r="P50" s="203">
        <v>0.15</v>
      </c>
      <c r="Q50" s="203">
        <v>0.3</v>
      </c>
      <c r="R50" s="204">
        <v>0.57269958883836369</v>
      </c>
      <c r="S50" s="204"/>
      <c r="T50" s="202">
        <v>1.46</v>
      </c>
      <c r="U50" s="202"/>
    </row>
    <row r="51" spans="1:21">
      <c r="A51" s="853"/>
      <c r="B51" s="120" t="s">
        <v>153</v>
      </c>
      <c r="C51" s="119"/>
      <c r="D51" s="305">
        <f>J33</f>
        <v>1257.5999999999999</v>
      </c>
      <c r="E51" s="99" t="s">
        <v>5</v>
      </c>
      <c r="F51" s="875"/>
      <c r="G51" s="876"/>
      <c r="H51" s="876"/>
      <c r="I51" s="876"/>
      <c r="J51" s="877"/>
      <c r="M51" s="202">
        <v>1.5</v>
      </c>
      <c r="N51" s="202">
        <v>2.2999999999999998</v>
      </c>
      <c r="O51" s="202">
        <v>0.13</v>
      </c>
      <c r="P51" s="203">
        <v>0.15</v>
      </c>
      <c r="Q51" s="203">
        <v>0.375</v>
      </c>
      <c r="R51" s="204">
        <v>0.73187335634533468</v>
      </c>
      <c r="S51" s="204"/>
      <c r="T51" s="202">
        <v>1.76</v>
      </c>
      <c r="U51" s="202"/>
    </row>
    <row r="52" spans="1:21" ht="15" customHeight="1">
      <c r="A52" s="121"/>
      <c r="B52" s="122" t="s">
        <v>164</v>
      </c>
      <c r="C52" s="120"/>
      <c r="D52" s="306">
        <f>C37*0.2613+C38*0.2613+C39*0.3265+C40*0.4829+C41*0.5727+C42*0.7319</f>
        <v>225.976</v>
      </c>
      <c r="E52" s="99" t="s">
        <v>4</v>
      </c>
      <c r="F52" s="878"/>
      <c r="G52" s="879"/>
      <c r="H52" s="879"/>
      <c r="I52" s="879"/>
      <c r="J52" s="880"/>
    </row>
  </sheetData>
  <mergeCells count="18">
    <mergeCell ref="A34:A51"/>
    <mergeCell ref="F35:J52"/>
    <mergeCell ref="M43:N43"/>
    <mergeCell ref="M38:N38"/>
    <mergeCell ref="M39:N39"/>
    <mergeCell ref="M40:N40"/>
    <mergeCell ref="M41:N41"/>
    <mergeCell ref="M42:N42"/>
    <mergeCell ref="A3:J3"/>
    <mergeCell ref="C6:C7"/>
    <mergeCell ref="D6:D7"/>
    <mergeCell ref="A32:A33"/>
    <mergeCell ref="A2:J2"/>
    <mergeCell ref="A4:J5"/>
    <mergeCell ref="A6:B7"/>
    <mergeCell ref="A20:A22"/>
    <mergeCell ref="A10:A11"/>
    <mergeCell ref="A15:A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9"/>
  <dimension ref="A1:I34"/>
  <sheetViews>
    <sheetView zoomScale="90" zoomScaleNormal="90" workbookViewId="0">
      <selection activeCell="L14" sqref="L14"/>
    </sheetView>
  </sheetViews>
  <sheetFormatPr defaultRowHeight="12.75"/>
  <cols>
    <col min="1" max="1" width="8" customWidth="1"/>
    <col min="2" max="2" width="37.42578125" customWidth="1"/>
    <col min="3" max="4" width="8" customWidth="1"/>
    <col min="5" max="5" width="15.7109375" customWidth="1"/>
    <col min="6" max="6" width="8" customWidth="1"/>
    <col min="7" max="8" width="15.5703125" customWidth="1"/>
    <col min="9" max="9" width="19.85546875" customWidth="1"/>
  </cols>
  <sheetData>
    <row r="1" spans="1:9" ht="15.75">
      <c r="A1" s="940" t="s">
        <v>81</v>
      </c>
      <c r="B1" s="941"/>
      <c r="C1" s="941"/>
      <c r="D1" s="942"/>
      <c r="E1" s="943"/>
      <c r="F1" s="943"/>
      <c r="G1" s="942"/>
      <c r="H1" s="943"/>
      <c r="I1" s="944"/>
    </row>
    <row r="2" spans="1:9" ht="14.25">
      <c r="A2" s="923" t="s">
        <v>612</v>
      </c>
      <c r="B2" s="924"/>
      <c r="C2" s="924"/>
      <c r="D2" s="924"/>
      <c r="E2" s="924"/>
      <c r="F2" s="924"/>
      <c r="G2" s="924"/>
      <c r="H2" s="924"/>
      <c r="I2" s="925"/>
    </row>
    <row r="3" spans="1:9" ht="30" customHeight="1">
      <c r="A3" s="926" t="s">
        <v>350</v>
      </c>
      <c r="B3" s="927"/>
      <c r="C3" s="927"/>
      <c r="D3" s="927"/>
      <c r="E3" s="927"/>
      <c r="F3" s="927"/>
      <c r="G3" s="927"/>
      <c r="H3" s="927"/>
      <c r="I3" s="928"/>
    </row>
    <row r="4" spans="1:9">
      <c r="A4" s="929" t="s">
        <v>331</v>
      </c>
      <c r="B4" s="930"/>
      <c r="C4" s="930"/>
      <c r="D4" s="930"/>
      <c r="E4" s="930"/>
      <c r="F4" s="930"/>
      <c r="G4" s="930"/>
      <c r="H4" s="930"/>
      <c r="I4" s="931"/>
    </row>
    <row r="5" spans="1:9" ht="13.5" thickBot="1">
      <c r="A5" s="889" t="s">
        <v>80</v>
      </c>
      <c r="B5" s="886"/>
      <c r="C5" s="886"/>
      <c r="D5" s="890"/>
      <c r="E5" s="886"/>
      <c r="F5" s="886"/>
      <c r="G5" s="890"/>
      <c r="H5" s="886"/>
      <c r="I5" s="891"/>
    </row>
    <row r="6" spans="1:9" ht="16.5" customHeight="1">
      <c r="A6" s="934" t="s">
        <v>182</v>
      </c>
      <c r="B6" s="935"/>
      <c r="C6" s="935"/>
      <c r="D6" s="935"/>
      <c r="E6" s="935"/>
      <c r="F6" s="935"/>
      <c r="G6" s="935"/>
      <c r="H6" s="935"/>
      <c r="I6" s="936"/>
    </row>
    <row r="7" spans="1:9" ht="16.5" customHeight="1" thickBot="1">
      <c r="A7" s="937"/>
      <c r="B7" s="938"/>
      <c r="C7" s="938"/>
      <c r="D7" s="938"/>
      <c r="E7" s="938"/>
      <c r="F7" s="938"/>
      <c r="G7" s="938"/>
      <c r="H7" s="938"/>
      <c r="I7" s="939"/>
    </row>
    <row r="8" spans="1:9" ht="15">
      <c r="A8" s="932" t="s">
        <v>32</v>
      </c>
      <c r="B8" s="911" t="s">
        <v>0</v>
      </c>
      <c r="C8" s="912"/>
      <c r="D8" s="913"/>
      <c r="E8" s="46" t="s">
        <v>65</v>
      </c>
      <c r="F8" s="46" t="s">
        <v>66</v>
      </c>
      <c r="G8" s="46" t="s">
        <v>67</v>
      </c>
      <c r="H8" s="46" t="s">
        <v>68</v>
      </c>
      <c r="I8" s="47" t="s">
        <v>69</v>
      </c>
    </row>
    <row r="9" spans="1:9" ht="15.75" thickBot="1">
      <c r="A9" s="933"/>
      <c r="B9" s="914"/>
      <c r="C9" s="915"/>
      <c r="D9" s="916"/>
      <c r="E9" s="48" t="s">
        <v>70</v>
      </c>
      <c r="F9" s="48" t="s">
        <v>71</v>
      </c>
      <c r="G9" s="48" t="s">
        <v>71</v>
      </c>
      <c r="H9" s="48" t="s">
        <v>71</v>
      </c>
      <c r="I9" s="49" t="s">
        <v>71</v>
      </c>
    </row>
    <row r="10" spans="1:9" ht="15">
      <c r="A10" s="41" t="s">
        <v>41</v>
      </c>
      <c r="B10" s="917" t="s">
        <v>72</v>
      </c>
      <c r="C10" s="918"/>
      <c r="D10" s="919"/>
      <c r="E10" s="42">
        <f>SUM(E11:E14)</f>
        <v>6.080000000000001</v>
      </c>
      <c r="F10" s="42"/>
      <c r="G10" s="43"/>
      <c r="H10" s="44"/>
      <c r="I10" s="45"/>
    </row>
    <row r="11" spans="1:9" ht="15">
      <c r="A11" s="24" t="s">
        <v>42</v>
      </c>
      <c r="B11" s="898" t="s">
        <v>73</v>
      </c>
      <c r="C11" s="896"/>
      <c r="D11" s="897"/>
      <c r="E11" s="21">
        <v>4.01</v>
      </c>
      <c r="F11" s="21"/>
      <c r="G11" s="21"/>
      <c r="H11" s="22"/>
      <c r="I11" s="23"/>
    </row>
    <row r="12" spans="1:9" ht="15">
      <c r="A12" s="24" t="s">
        <v>43</v>
      </c>
      <c r="B12" s="165" t="s">
        <v>102</v>
      </c>
      <c r="C12" s="163"/>
      <c r="D12" s="164"/>
      <c r="E12" s="21">
        <v>0.4</v>
      </c>
      <c r="F12" s="21"/>
      <c r="G12" s="21"/>
      <c r="H12" s="22"/>
      <c r="I12" s="23"/>
    </row>
    <row r="13" spans="1:9" ht="15">
      <c r="A13" s="24" t="s">
        <v>74</v>
      </c>
      <c r="B13" s="898" t="s">
        <v>63</v>
      </c>
      <c r="C13" s="896"/>
      <c r="D13" s="897"/>
      <c r="E13" s="21">
        <v>0.56000000000000005</v>
      </c>
      <c r="F13" s="21"/>
      <c r="G13" s="21"/>
      <c r="H13" s="22"/>
      <c r="I13" s="23"/>
    </row>
    <row r="14" spans="1:9" ht="15">
      <c r="A14" s="24" t="s">
        <v>101</v>
      </c>
      <c r="B14" s="898" t="s">
        <v>62</v>
      </c>
      <c r="C14" s="896"/>
      <c r="D14" s="897"/>
      <c r="E14" s="21">
        <v>1.1100000000000001</v>
      </c>
      <c r="F14" s="21"/>
      <c r="G14" s="21"/>
      <c r="H14" s="22"/>
      <c r="I14" s="23"/>
    </row>
    <row r="15" spans="1:9" ht="15">
      <c r="A15" s="25"/>
      <c r="B15" s="920"/>
      <c r="C15" s="921"/>
      <c r="D15" s="922"/>
      <c r="E15" s="26"/>
      <c r="F15" s="27"/>
      <c r="G15" s="26"/>
      <c r="H15" s="28"/>
      <c r="I15" s="29"/>
    </row>
    <row r="16" spans="1:9" ht="15">
      <c r="A16" s="19" t="s">
        <v>33</v>
      </c>
      <c r="B16" s="895" t="s">
        <v>75</v>
      </c>
      <c r="C16" s="896"/>
      <c r="D16" s="897"/>
      <c r="E16" s="20">
        <f>E17</f>
        <v>7.3</v>
      </c>
      <c r="F16" s="20"/>
      <c r="G16" s="21"/>
      <c r="H16" s="22"/>
      <c r="I16" s="23"/>
    </row>
    <row r="17" spans="1:9" ht="15">
      <c r="A17" s="24" t="s">
        <v>40</v>
      </c>
      <c r="B17" s="898" t="s">
        <v>76</v>
      </c>
      <c r="C17" s="896"/>
      <c r="D17" s="897"/>
      <c r="E17" s="21">
        <v>7.3</v>
      </c>
      <c r="F17" s="21"/>
      <c r="G17" s="21"/>
      <c r="H17" s="22"/>
      <c r="I17" s="23"/>
    </row>
    <row r="18" spans="1:9" ht="15">
      <c r="A18" s="30"/>
      <c r="B18" s="892"/>
      <c r="C18" s="893"/>
      <c r="D18" s="894"/>
      <c r="E18" s="31"/>
      <c r="F18" s="32"/>
      <c r="G18" s="31"/>
      <c r="H18" s="33"/>
      <c r="I18" s="34"/>
    </row>
    <row r="19" spans="1:9" ht="15">
      <c r="A19" s="19" t="s">
        <v>34</v>
      </c>
      <c r="B19" s="895" t="s">
        <v>77</v>
      </c>
      <c r="C19" s="896"/>
      <c r="D19" s="897"/>
      <c r="E19" s="20">
        <f>E20+E21+E23+E22</f>
        <v>5.65</v>
      </c>
      <c r="F19" s="20"/>
      <c r="G19" s="21"/>
      <c r="H19" s="35"/>
      <c r="I19" s="23"/>
    </row>
    <row r="20" spans="1:9" ht="15">
      <c r="A20" s="24" t="s">
        <v>39</v>
      </c>
      <c r="B20" s="898" t="s">
        <v>103</v>
      </c>
      <c r="C20" s="896"/>
      <c r="D20" s="897"/>
      <c r="E20" s="52">
        <v>0.65</v>
      </c>
      <c r="F20" s="21"/>
      <c r="G20" s="21"/>
      <c r="H20" s="35"/>
      <c r="I20" s="23"/>
    </row>
    <row r="21" spans="1:9" ht="15">
      <c r="A21" s="24" t="s">
        <v>35</v>
      </c>
      <c r="B21" s="898" t="s">
        <v>104</v>
      </c>
      <c r="C21" s="896"/>
      <c r="D21" s="897"/>
      <c r="E21" s="21">
        <v>3</v>
      </c>
      <c r="F21" s="21"/>
      <c r="G21" s="21"/>
      <c r="H21" s="35"/>
      <c r="I21" s="23"/>
    </row>
    <row r="22" spans="1:9" ht="15">
      <c r="A22" s="24" t="s">
        <v>46</v>
      </c>
      <c r="B22" s="898" t="s">
        <v>105</v>
      </c>
      <c r="C22" s="899"/>
      <c r="D22" s="900"/>
      <c r="E22" s="21">
        <v>2</v>
      </c>
      <c r="F22" s="21"/>
      <c r="G22" s="21"/>
      <c r="H22" s="35"/>
      <c r="I22" s="23"/>
    </row>
    <row r="23" spans="1:9" ht="15">
      <c r="A23" s="24" t="s">
        <v>47</v>
      </c>
      <c r="B23" s="898" t="s">
        <v>64</v>
      </c>
      <c r="C23" s="896"/>
      <c r="D23" s="897"/>
      <c r="E23" s="21">
        <v>0</v>
      </c>
      <c r="F23" s="21"/>
      <c r="G23" s="21"/>
      <c r="H23" s="22"/>
      <c r="I23" s="23"/>
    </row>
    <row r="24" spans="1:9">
      <c r="A24" s="24"/>
      <c r="B24" s="895" t="s">
        <v>78</v>
      </c>
      <c r="C24" s="896"/>
      <c r="D24" s="897"/>
      <c r="E24" s="36"/>
      <c r="F24" s="36"/>
      <c r="G24" s="37"/>
      <c r="H24" s="38"/>
      <c r="I24" s="39"/>
    </row>
    <row r="25" spans="1:9" ht="12.75" customHeight="1">
      <c r="A25" s="905" t="s">
        <v>79</v>
      </c>
      <c r="B25" s="906"/>
      <c r="C25" s="906"/>
      <c r="D25" s="907"/>
      <c r="E25" s="903">
        <f>TRUNC((((1+((E11+E12+E13)/100))*(1+((E14)/100))*(1+((E16/100)))/(1-((E20+E21+E22+E23)/100)))-1),4)</f>
        <v>0.20699999999999999</v>
      </c>
      <c r="F25" s="887"/>
      <c r="G25" s="887"/>
      <c r="H25" s="887"/>
      <c r="I25" s="901">
        <v>0</v>
      </c>
    </row>
    <row r="26" spans="1:9" ht="23.25" customHeight="1" thickBot="1">
      <c r="A26" s="908"/>
      <c r="B26" s="909"/>
      <c r="C26" s="909"/>
      <c r="D26" s="910"/>
      <c r="E26" s="904"/>
      <c r="F26" s="888"/>
      <c r="G26" s="888"/>
      <c r="H26" s="888"/>
      <c r="I26" s="902"/>
    </row>
    <row r="27" spans="1:9">
      <c r="A27" s="77"/>
      <c r="B27" s="78"/>
      <c r="C27" s="79"/>
      <c r="D27" s="79"/>
      <c r="E27" s="78"/>
      <c r="F27" s="80"/>
      <c r="G27" s="81"/>
      <c r="H27" s="81"/>
      <c r="I27" s="82"/>
    </row>
    <row r="28" spans="1:9" ht="12.75" customHeight="1">
      <c r="A28" s="50" t="s">
        <v>106</v>
      </c>
      <c r="B28" s="83"/>
      <c r="C28" s="40"/>
      <c r="D28" s="40"/>
      <c r="E28" s="40"/>
      <c r="F28" s="67"/>
      <c r="G28" s="70"/>
      <c r="H28" s="68"/>
      <c r="I28" s="69"/>
    </row>
    <row r="29" spans="1:9">
      <c r="A29" s="50"/>
      <c r="B29" s="40"/>
      <c r="C29" s="66"/>
      <c r="D29" s="66"/>
      <c r="E29" s="40"/>
      <c r="F29" s="67"/>
      <c r="G29" s="68"/>
      <c r="H29" s="68"/>
      <c r="I29" s="69"/>
    </row>
    <row r="30" spans="1:9" ht="15.75">
      <c r="A30" s="50"/>
      <c r="B30" s="40"/>
      <c r="C30" s="40"/>
      <c r="D30" s="40"/>
      <c r="E30" s="40"/>
      <c r="F30" s="67"/>
      <c r="G30" s="883"/>
      <c r="H30" s="883"/>
      <c r="I30" s="71"/>
    </row>
    <row r="31" spans="1:9" ht="15.75">
      <c r="A31" s="50"/>
      <c r="B31" s="881"/>
      <c r="C31" s="882"/>
      <c r="D31" s="882"/>
      <c r="E31" s="882"/>
      <c r="F31" s="72"/>
      <c r="G31" s="883"/>
      <c r="H31" s="883"/>
      <c r="I31" s="71"/>
    </row>
    <row r="32" spans="1:9" ht="15.75">
      <c r="A32" s="50"/>
      <c r="B32" s="882"/>
      <c r="C32" s="882"/>
      <c r="D32" s="882"/>
      <c r="E32" s="882"/>
      <c r="F32" s="67"/>
      <c r="G32" s="883"/>
      <c r="H32" s="883"/>
      <c r="I32" s="71"/>
    </row>
    <row r="33" spans="1:9" ht="15.75">
      <c r="A33" s="50"/>
      <c r="B33" s="885"/>
      <c r="C33" s="882"/>
      <c r="D33" s="882"/>
      <c r="E33" s="882"/>
      <c r="F33" s="67"/>
      <c r="G33" s="883"/>
      <c r="H33" s="884"/>
      <c r="I33" s="71"/>
    </row>
    <row r="34" spans="1:9" ht="13.5" thickBot="1">
      <c r="A34" s="51"/>
      <c r="B34" s="886"/>
      <c r="C34" s="886"/>
      <c r="D34" s="886"/>
      <c r="E34" s="886"/>
      <c r="F34" s="73"/>
      <c r="G34" s="74"/>
      <c r="H34" s="75"/>
      <c r="I34" s="76"/>
    </row>
  </sheetData>
  <mergeCells count="38">
    <mergeCell ref="A1:C1"/>
    <mergeCell ref="D1:F1"/>
    <mergeCell ref="G1:I1"/>
    <mergeCell ref="B11:D11"/>
    <mergeCell ref="B13:D13"/>
    <mergeCell ref="A2:I2"/>
    <mergeCell ref="A3:I3"/>
    <mergeCell ref="A4:I4"/>
    <mergeCell ref="A8:A9"/>
    <mergeCell ref="A6:I7"/>
    <mergeCell ref="B8:D9"/>
    <mergeCell ref="B10:D10"/>
    <mergeCell ref="B15:D15"/>
    <mergeCell ref="B16:D16"/>
    <mergeCell ref="B17:D17"/>
    <mergeCell ref="B14:D14"/>
    <mergeCell ref="H25:H26"/>
    <mergeCell ref="A5:C5"/>
    <mergeCell ref="D5:F5"/>
    <mergeCell ref="G5:I5"/>
    <mergeCell ref="F25:F26"/>
    <mergeCell ref="G25:G26"/>
    <mergeCell ref="B18:D18"/>
    <mergeCell ref="B19:D19"/>
    <mergeCell ref="B20:D20"/>
    <mergeCell ref="B21:D21"/>
    <mergeCell ref="B22:D22"/>
    <mergeCell ref="I25:I26"/>
    <mergeCell ref="E25:E26"/>
    <mergeCell ref="B23:D23"/>
    <mergeCell ref="B24:D24"/>
    <mergeCell ref="A25:D26"/>
    <mergeCell ref="B31:E32"/>
    <mergeCell ref="G32:G33"/>
    <mergeCell ref="H32:H33"/>
    <mergeCell ref="B33:E34"/>
    <mergeCell ref="G30:G31"/>
    <mergeCell ref="H30:H31"/>
  </mergeCells>
  <pageMargins left="0.511811024" right="0.511811024" top="0.78740157499999996" bottom="0.78740157499999996" header="0.31496062000000002" footer="0.31496062000000002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10"/>
  <dimension ref="A1:I34"/>
  <sheetViews>
    <sheetView zoomScale="80" zoomScaleNormal="80" workbookViewId="0">
      <selection activeCell="R17" sqref="R17"/>
    </sheetView>
  </sheetViews>
  <sheetFormatPr defaultRowHeight="12.75"/>
  <cols>
    <col min="1" max="1" width="8" customWidth="1"/>
    <col min="2" max="2" width="37.42578125" customWidth="1"/>
    <col min="3" max="4" width="8" customWidth="1"/>
    <col min="5" max="5" width="15.7109375" customWidth="1"/>
    <col min="6" max="6" width="8" customWidth="1"/>
    <col min="7" max="8" width="15.5703125" customWidth="1"/>
    <col min="9" max="9" width="19.85546875" customWidth="1"/>
  </cols>
  <sheetData>
    <row r="1" spans="1:9" ht="15.75">
      <c r="A1" s="951" t="s">
        <v>81</v>
      </c>
      <c r="B1" s="952"/>
      <c r="C1" s="952"/>
      <c r="D1" s="953"/>
      <c r="E1" s="952"/>
      <c r="F1" s="952"/>
      <c r="G1" s="953"/>
      <c r="H1" s="952"/>
      <c r="I1" s="954"/>
    </row>
    <row r="2" spans="1:9" ht="15.75">
      <c r="A2" s="948" t="s">
        <v>612</v>
      </c>
      <c r="B2" s="955"/>
      <c r="C2" s="955"/>
      <c r="D2" s="949"/>
      <c r="E2" s="955"/>
      <c r="F2" s="955"/>
      <c r="G2" s="949"/>
      <c r="H2" s="955"/>
      <c r="I2" s="956"/>
    </row>
    <row r="3" spans="1:9" ht="29.25" customHeight="1">
      <c r="A3" s="945" t="s">
        <v>350</v>
      </c>
      <c r="B3" s="946"/>
      <c r="C3" s="946"/>
      <c r="D3" s="946"/>
      <c r="E3" s="946"/>
      <c r="F3" s="946"/>
      <c r="G3" s="946"/>
      <c r="H3" s="946"/>
      <c r="I3" s="947"/>
    </row>
    <row r="4" spans="1:9" ht="15.75">
      <c r="A4" s="948" t="s">
        <v>331</v>
      </c>
      <c r="B4" s="949"/>
      <c r="C4" s="949"/>
      <c r="D4" s="949"/>
      <c r="E4" s="949"/>
      <c r="F4" s="949"/>
      <c r="G4" s="949"/>
      <c r="H4" s="949"/>
      <c r="I4" s="950"/>
    </row>
    <row r="5" spans="1:9">
      <c r="A5" s="957" t="s">
        <v>80</v>
      </c>
      <c r="B5" s="958"/>
      <c r="C5" s="958"/>
      <c r="D5" s="959"/>
      <c r="E5" s="958"/>
      <c r="F5" s="958"/>
      <c r="G5" s="959"/>
      <c r="H5" s="958"/>
      <c r="I5" s="960"/>
    </row>
    <row r="6" spans="1:9" ht="16.5" customHeight="1">
      <c r="A6" s="934" t="s">
        <v>182</v>
      </c>
      <c r="B6" s="935"/>
      <c r="C6" s="935"/>
      <c r="D6" s="935"/>
      <c r="E6" s="935"/>
      <c r="F6" s="935"/>
      <c r="G6" s="935"/>
      <c r="H6" s="935"/>
      <c r="I6" s="936"/>
    </row>
    <row r="7" spans="1:9" ht="16.5" customHeight="1" thickBot="1">
      <c r="A7" s="937"/>
      <c r="B7" s="938"/>
      <c r="C7" s="938"/>
      <c r="D7" s="938"/>
      <c r="E7" s="938"/>
      <c r="F7" s="938"/>
      <c r="G7" s="938"/>
      <c r="H7" s="938"/>
      <c r="I7" s="939"/>
    </row>
    <row r="8" spans="1:9" ht="15">
      <c r="A8" s="932" t="s">
        <v>32</v>
      </c>
      <c r="B8" s="911" t="s">
        <v>0</v>
      </c>
      <c r="C8" s="912"/>
      <c r="D8" s="913"/>
      <c r="E8" s="46" t="s">
        <v>65</v>
      </c>
      <c r="F8" s="46" t="s">
        <v>66</v>
      </c>
      <c r="G8" s="46" t="s">
        <v>67</v>
      </c>
      <c r="H8" s="46" t="s">
        <v>68</v>
      </c>
      <c r="I8" s="47" t="s">
        <v>69</v>
      </c>
    </row>
    <row r="9" spans="1:9" ht="15.75" thickBot="1">
      <c r="A9" s="933"/>
      <c r="B9" s="914"/>
      <c r="C9" s="915"/>
      <c r="D9" s="916"/>
      <c r="E9" s="48" t="s">
        <v>70</v>
      </c>
      <c r="F9" s="48" t="s">
        <v>71</v>
      </c>
      <c r="G9" s="48" t="s">
        <v>71</v>
      </c>
      <c r="H9" s="48" t="s">
        <v>71</v>
      </c>
      <c r="I9" s="49" t="s">
        <v>71</v>
      </c>
    </row>
    <row r="10" spans="1:9" ht="15">
      <c r="A10" s="41" t="s">
        <v>41</v>
      </c>
      <c r="B10" s="917" t="s">
        <v>72</v>
      </c>
      <c r="C10" s="918"/>
      <c r="D10" s="919"/>
      <c r="E10" s="42">
        <f>SUM(E11:E14)</f>
        <v>5.63</v>
      </c>
      <c r="F10" s="42"/>
      <c r="G10" s="43"/>
      <c r="H10" s="44"/>
      <c r="I10" s="45"/>
    </row>
    <row r="11" spans="1:9" ht="15">
      <c r="A11" s="24" t="s">
        <v>42</v>
      </c>
      <c r="B11" s="898" t="s">
        <v>73</v>
      </c>
      <c r="C11" s="896"/>
      <c r="D11" s="897"/>
      <c r="E11" s="21">
        <v>3.45</v>
      </c>
      <c r="F11" s="21"/>
      <c r="G11" s="21"/>
      <c r="H11" s="22"/>
      <c r="I11" s="23"/>
    </row>
    <row r="12" spans="1:9" ht="15">
      <c r="A12" s="24" t="s">
        <v>43</v>
      </c>
      <c r="B12" s="309" t="s">
        <v>102</v>
      </c>
      <c r="C12" s="307"/>
      <c r="D12" s="308"/>
      <c r="E12" s="21">
        <v>0.48</v>
      </c>
      <c r="F12" s="21"/>
      <c r="G12" s="21"/>
      <c r="H12" s="22"/>
      <c r="I12" s="23"/>
    </row>
    <row r="13" spans="1:9" ht="15">
      <c r="A13" s="24" t="s">
        <v>74</v>
      </c>
      <c r="B13" s="898" t="s">
        <v>63</v>
      </c>
      <c r="C13" s="896"/>
      <c r="D13" s="897"/>
      <c r="E13" s="21">
        <v>0.85</v>
      </c>
      <c r="F13" s="21"/>
      <c r="G13" s="21"/>
      <c r="H13" s="22"/>
      <c r="I13" s="23"/>
    </row>
    <row r="14" spans="1:9" ht="15">
      <c r="A14" s="24" t="s">
        <v>101</v>
      </c>
      <c r="B14" s="898" t="s">
        <v>62</v>
      </c>
      <c r="C14" s="896"/>
      <c r="D14" s="897"/>
      <c r="E14" s="21">
        <v>0.85</v>
      </c>
      <c r="F14" s="21"/>
      <c r="G14" s="21"/>
      <c r="H14" s="22"/>
      <c r="I14" s="23"/>
    </row>
    <row r="15" spans="1:9" ht="15">
      <c r="A15" s="25"/>
      <c r="B15" s="920"/>
      <c r="C15" s="921"/>
      <c r="D15" s="922"/>
      <c r="E15" s="26"/>
      <c r="F15" s="27"/>
      <c r="G15" s="26"/>
      <c r="H15" s="28"/>
      <c r="I15" s="29"/>
    </row>
    <row r="16" spans="1:9" ht="15">
      <c r="A16" s="19" t="s">
        <v>33</v>
      </c>
      <c r="B16" s="895" t="s">
        <v>75</v>
      </c>
      <c r="C16" s="896"/>
      <c r="D16" s="897"/>
      <c r="E16" s="20">
        <f>E17</f>
        <v>5.1100000000000003</v>
      </c>
      <c r="F16" s="20"/>
      <c r="G16" s="21"/>
      <c r="H16" s="22"/>
      <c r="I16" s="23"/>
    </row>
    <row r="17" spans="1:9" ht="15">
      <c r="A17" s="24" t="s">
        <v>40</v>
      </c>
      <c r="B17" s="898" t="s">
        <v>76</v>
      </c>
      <c r="C17" s="896"/>
      <c r="D17" s="897"/>
      <c r="E17" s="21">
        <v>5.1100000000000003</v>
      </c>
      <c r="F17" s="21"/>
      <c r="G17" s="21"/>
      <c r="H17" s="22"/>
      <c r="I17" s="23"/>
    </row>
    <row r="18" spans="1:9" ht="15">
      <c r="A18" s="30"/>
      <c r="B18" s="892"/>
      <c r="C18" s="893"/>
      <c r="D18" s="894"/>
      <c r="E18" s="31"/>
      <c r="F18" s="32"/>
      <c r="G18" s="31"/>
      <c r="H18" s="33"/>
      <c r="I18" s="34"/>
    </row>
    <row r="19" spans="1:9" ht="15">
      <c r="A19" s="19" t="s">
        <v>34</v>
      </c>
      <c r="B19" s="895" t="s">
        <v>77</v>
      </c>
      <c r="C19" s="896"/>
      <c r="D19" s="897"/>
      <c r="E19" s="20">
        <f>E20+E21+E23+E22</f>
        <v>3.65</v>
      </c>
      <c r="F19" s="20"/>
      <c r="G19" s="21"/>
      <c r="H19" s="35"/>
      <c r="I19" s="23"/>
    </row>
    <row r="20" spans="1:9" ht="15">
      <c r="A20" s="24" t="s">
        <v>39</v>
      </c>
      <c r="B20" s="898" t="s">
        <v>103</v>
      </c>
      <c r="C20" s="896"/>
      <c r="D20" s="897"/>
      <c r="E20" s="52">
        <v>0.65</v>
      </c>
      <c r="F20" s="21"/>
      <c r="G20" s="21"/>
      <c r="H20" s="35"/>
      <c r="I20" s="23"/>
    </row>
    <row r="21" spans="1:9" ht="15">
      <c r="A21" s="24" t="s">
        <v>35</v>
      </c>
      <c r="B21" s="898" t="s">
        <v>104</v>
      </c>
      <c r="C21" s="896"/>
      <c r="D21" s="897"/>
      <c r="E21" s="21">
        <v>3</v>
      </c>
      <c r="F21" s="21"/>
      <c r="G21" s="21"/>
      <c r="H21" s="35"/>
      <c r="I21" s="23"/>
    </row>
    <row r="22" spans="1:9" ht="15">
      <c r="A22" s="24" t="s">
        <v>46</v>
      </c>
      <c r="B22" s="898" t="s">
        <v>105</v>
      </c>
      <c r="C22" s="899"/>
      <c r="D22" s="900"/>
      <c r="E22" s="21">
        <v>0</v>
      </c>
      <c r="F22" s="21"/>
      <c r="G22" s="21"/>
      <c r="H22" s="35"/>
      <c r="I22" s="23"/>
    </row>
    <row r="23" spans="1:9" ht="15">
      <c r="A23" s="24" t="s">
        <v>47</v>
      </c>
      <c r="B23" s="898" t="s">
        <v>64</v>
      </c>
      <c r="C23" s="896"/>
      <c r="D23" s="897"/>
      <c r="E23" s="21">
        <v>0</v>
      </c>
      <c r="F23" s="21"/>
      <c r="G23" s="21"/>
      <c r="H23" s="22"/>
      <c r="I23" s="23"/>
    </row>
    <row r="24" spans="1:9">
      <c r="A24" s="24"/>
      <c r="B24" s="895" t="s">
        <v>78</v>
      </c>
      <c r="C24" s="896"/>
      <c r="D24" s="897"/>
      <c r="E24" s="36"/>
      <c r="F24" s="36"/>
      <c r="G24" s="37"/>
      <c r="H24" s="38"/>
      <c r="I24" s="39"/>
    </row>
    <row r="25" spans="1:9" ht="12.75" customHeight="1">
      <c r="A25" s="905" t="s">
        <v>79</v>
      </c>
      <c r="B25" s="906"/>
      <c r="C25" s="906"/>
      <c r="D25" s="907"/>
      <c r="E25" s="903">
        <f>TRUNC(((((1+((E11+E12+E13)/100))*(1+((E14)/100))*(1+((E16/100)))/(1-((E20+E21+E22+E23)/100)))-1)),4)</f>
        <v>0.1527</v>
      </c>
      <c r="F25" s="887"/>
      <c r="G25" s="887"/>
      <c r="H25" s="887"/>
      <c r="I25" s="901">
        <v>0</v>
      </c>
    </row>
    <row r="26" spans="1:9" ht="23.25" customHeight="1" thickBot="1">
      <c r="A26" s="908"/>
      <c r="B26" s="909"/>
      <c r="C26" s="909"/>
      <c r="D26" s="910"/>
      <c r="E26" s="904"/>
      <c r="F26" s="888"/>
      <c r="G26" s="888"/>
      <c r="H26" s="888"/>
      <c r="I26" s="902"/>
    </row>
    <row r="27" spans="1:9">
      <c r="A27" s="77"/>
      <c r="B27" s="78"/>
      <c r="C27" s="79"/>
      <c r="D27" s="79"/>
      <c r="E27" s="78"/>
      <c r="F27" s="80"/>
      <c r="G27" s="81"/>
      <c r="H27" s="81"/>
      <c r="I27" s="82"/>
    </row>
    <row r="28" spans="1:9" ht="12.75" customHeight="1">
      <c r="A28" s="50" t="s">
        <v>106</v>
      </c>
      <c r="B28" s="83"/>
      <c r="C28" s="40"/>
      <c r="D28" s="40"/>
      <c r="E28" s="40"/>
      <c r="F28" s="67"/>
      <c r="G28" s="70"/>
      <c r="H28" s="68"/>
      <c r="I28" s="69"/>
    </row>
    <row r="29" spans="1:9">
      <c r="A29" s="50"/>
      <c r="B29" s="40"/>
      <c r="C29" s="66"/>
      <c r="D29" s="66"/>
      <c r="E29" s="40"/>
      <c r="F29" s="67"/>
      <c r="G29" s="68"/>
      <c r="H29" s="68"/>
      <c r="I29" s="69"/>
    </row>
    <row r="30" spans="1:9" ht="15.75">
      <c r="A30" s="50"/>
      <c r="B30" s="40"/>
      <c r="C30" s="40"/>
      <c r="D30" s="40"/>
      <c r="E30" s="40"/>
      <c r="F30" s="67"/>
      <c r="G30" s="883"/>
      <c r="H30" s="883"/>
      <c r="I30" s="71"/>
    </row>
    <row r="31" spans="1:9" ht="15.75">
      <c r="A31" s="50"/>
      <c r="B31" s="881"/>
      <c r="C31" s="882"/>
      <c r="D31" s="882"/>
      <c r="E31" s="882"/>
      <c r="F31" s="72"/>
      <c r="G31" s="883"/>
      <c r="H31" s="883"/>
      <c r="I31" s="71"/>
    </row>
    <row r="32" spans="1:9" ht="15.75">
      <c r="A32" s="50"/>
      <c r="B32" s="882"/>
      <c r="C32" s="882"/>
      <c r="D32" s="882"/>
      <c r="E32" s="882"/>
      <c r="F32" s="67"/>
      <c r="G32" s="883"/>
      <c r="H32" s="883"/>
      <c r="I32" s="71"/>
    </row>
    <row r="33" spans="1:9" ht="15.75">
      <c r="A33" s="50"/>
      <c r="B33" s="885"/>
      <c r="C33" s="882"/>
      <c r="D33" s="882"/>
      <c r="E33" s="882"/>
      <c r="F33" s="67"/>
      <c r="G33" s="883"/>
      <c r="H33" s="884"/>
      <c r="I33" s="71"/>
    </row>
    <row r="34" spans="1:9" ht="13.5" thickBot="1">
      <c r="A34" s="51"/>
      <c r="B34" s="886"/>
      <c r="C34" s="886"/>
      <c r="D34" s="886"/>
      <c r="E34" s="886"/>
      <c r="F34" s="73"/>
      <c r="G34" s="74"/>
      <c r="H34" s="75"/>
      <c r="I34" s="76"/>
    </row>
  </sheetData>
  <mergeCells count="40">
    <mergeCell ref="H25:H26"/>
    <mergeCell ref="I25:I26"/>
    <mergeCell ref="G30:G31"/>
    <mergeCell ref="H30:H31"/>
    <mergeCell ref="B31:E32"/>
    <mergeCell ref="G32:G33"/>
    <mergeCell ref="H32:H33"/>
    <mergeCell ref="B33:E34"/>
    <mergeCell ref="G25:G26"/>
    <mergeCell ref="B23:D23"/>
    <mergeCell ref="B24:D24"/>
    <mergeCell ref="A25:D26"/>
    <mergeCell ref="E25:E26"/>
    <mergeCell ref="F25:F26"/>
    <mergeCell ref="B22:D22"/>
    <mergeCell ref="B10:D10"/>
    <mergeCell ref="B11:D11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5:C5"/>
    <mergeCell ref="D5:F5"/>
    <mergeCell ref="G5:I5"/>
    <mergeCell ref="A6:I7"/>
    <mergeCell ref="A8:A9"/>
    <mergeCell ref="B8:D9"/>
    <mergeCell ref="A3:I3"/>
    <mergeCell ref="A4:I4"/>
    <mergeCell ref="A1:C1"/>
    <mergeCell ref="D1:F1"/>
    <mergeCell ref="G1:I1"/>
    <mergeCell ref="A2:C2"/>
    <mergeCell ref="D2:F2"/>
    <mergeCell ref="G2:I2"/>
  </mergeCells>
  <pageMargins left="0.511811024" right="0.511811024" top="0.78740157499999996" bottom="0.78740157499999996" header="0.31496062000000002" footer="0.31496062000000002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7"/>
  <sheetViews>
    <sheetView zoomScale="110" zoomScaleNormal="110" zoomScaleSheetLayoutView="100" workbookViewId="0">
      <selection activeCell="O18" sqref="O18"/>
    </sheetView>
  </sheetViews>
  <sheetFormatPr defaultRowHeight="12.75"/>
  <cols>
    <col min="1" max="1" width="37" customWidth="1"/>
    <col min="2" max="2" width="3.7109375" customWidth="1"/>
    <col min="3" max="3" width="2.7109375" customWidth="1"/>
    <col min="4" max="4" width="6.5703125" customWidth="1"/>
    <col min="5" max="5" width="4.7109375" customWidth="1"/>
    <col min="6" max="6" width="2.7109375" customWidth="1"/>
    <col min="7" max="7" width="8.42578125" customWidth="1"/>
    <col min="8" max="9" width="11.7109375" customWidth="1"/>
    <col min="10" max="10" width="11" customWidth="1"/>
    <col min="11" max="11" width="16.7109375" customWidth="1"/>
    <col min="15" max="15" width="35" customWidth="1"/>
    <col min="16" max="16" width="3.7109375" customWidth="1"/>
    <col min="17" max="17" width="2.7109375" customWidth="1"/>
    <col min="18" max="18" width="6.5703125" customWidth="1"/>
    <col min="19" max="19" width="4.7109375" customWidth="1"/>
    <col min="20" max="20" width="2.7109375" customWidth="1"/>
    <col min="21" max="21" width="8.42578125" customWidth="1"/>
    <col min="22" max="23" width="11.7109375" customWidth="1"/>
    <col min="24" max="24" width="11" customWidth="1"/>
    <col min="25" max="25" width="16.7109375" customWidth="1"/>
  </cols>
  <sheetData>
    <row r="1" spans="1:11">
      <c r="A1" s="964" t="s">
        <v>317</v>
      </c>
      <c r="B1" s="965"/>
      <c r="C1" s="965"/>
      <c r="D1" s="965"/>
      <c r="E1" s="965"/>
      <c r="F1" s="965"/>
      <c r="G1" s="965"/>
      <c r="H1" s="965"/>
      <c r="I1" s="965"/>
      <c r="J1" s="965"/>
      <c r="K1" s="966"/>
    </row>
    <row r="2" spans="1:11">
      <c r="A2" s="967" t="s">
        <v>612</v>
      </c>
      <c r="B2" s="855"/>
      <c r="C2" s="855"/>
      <c r="D2" s="855"/>
      <c r="E2" s="855"/>
      <c r="F2" s="855"/>
      <c r="G2" s="855"/>
      <c r="H2" s="855"/>
      <c r="I2" s="855"/>
      <c r="J2" s="855"/>
      <c r="K2" s="968"/>
    </row>
    <row r="3" spans="1:11">
      <c r="A3" s="961" t="s">
        <v>360</v>
      </c>
      <c r="B3" s="962"/>
      <c r="C3" s="962"/>
      <c r="D3" s="962"/>
      <c r="E3" s="962"/>
      <c r="F3" s="962"/>
      <c r="G3" s="962"/>
      <c r="H3" s="962"/>
      <c r="I3" s="962"/>
      <c r="J3" s="962"/>
      <c r="K3" s="963"/>
    </row>
    <row r="4" spans="1:11">
      <c r="A4" s="972" t="s">
        <v>318</v>
      </c>
      <c r="B4" s="973"/>
      <c r="C4" s="973"/>
      <c r="D4" s="973"/>
      <c r="E4" s="973"/>
      <c r="F4" s="973"/>
      <c r="G4" s="973"/>
      <c r="H4" s="973"/>
      <c r="I4" s="973"/>
      <c r="J4" s="974"/>
      <c r="K4" s="975" t="s">
        <v>319</v>
      </c>
    </row>
    <row r="5" spans="1:11">
      <c r="A5" s="978" t="s">
        <v>49</v>
      </c>
      <c r="B5" s="981" t="s">
        <v>50</v>
      </c>
      <c r="C5" s="982"/>
      <c r="D5" s="982"/>
      <c r="E5" s="982"/>
      <c r="F5" s="982"/>
      <c r="G5" s="983"/>
      <c r="H5" s="984" t="s">
        <v>51</v>
      </c>
      <c r="I5" s="985"/>
      <c r="J5" s="986" t="s">
        <v>320</v>
      </c>
      <c r="K5" s="976"/>
    </row>
    <row r="6" spans="1:11">
      <c r="A6" s="979"/>
      <c r="B6" s="989" t="s">
        <v>52</v>
      </c>
      <c r="C6" s="990"/>
      <c r="D6" s="991"/>
      <c r="E6" s="989" t="s">
        <v>53</v>
      </c>
      <c r="F6" s="990"/>
      <c r="G6" s="991"/>
      <c r="H6" s="986" t="s">
        <v>321</v>
      </c>
      <c r="I6" s="986" t="s">
        <v>322</v>
      </c>
      <c r="J6" s="987"/>
      <c r="K6" s="976"/>
    </row>
    <row r="7" spans="1:11">
      <c r="A7" s="980"/>
      <c r="B7" s="992"/>
      <c r="C7" s="993"/>
      <c r="D7" s="994"/>
      <c r="E7" s="992"/>
      <c r="F7" s="993"/>
      <c r="G7" s="994"/>
      <c r="H7" s="988"/>
      <c r="I7" s="988"/>
      <c r="J7" s="988"/>
      <c r="K7" s="977"/>
    </row>
    <row r="8" spans="1:11">
      <c r="A8" s="311" t="s">
        <v>351</v>
      </c>
      <c r="B8" s="310">
        <v>0</v>
      </c>
      <c r="C8" s="291" t="s">
        <v>56</v>
      </c>
      <c r="D8" s="292">
        <v>0</v>
      </c>
      <c r="E8" s="310">
        <v>7</v>
      </c>
      <c r="F8" s="291" t="s">
        <v>56</v>
      </c>
      <c r="G8" s="292">
        <v>0</v>
      </c>
      <c r="H8" s="293">
        <f>((E8-B8)*20+G8-D8)</f>
        <v>140</v>
      </c>
      <c r="I8" s="294">
        <f t="shared" ref="I8:I24" si="0">H8</f>
        <v>140</v>
      </c>
      <c r="J8" s="295">
        <v>100</v>
      </c>
      <c r="K8" s="312" t="s">
        <v>352</v>
      </c>
    </row>
    <row r="9" spans="1:11">
      <c r="A9" s="311" t="s">
        <v>351</v>
      </c>
      <c r="B9" s="310">
        <v>7</v>
      </c>
      <c r="C9" s="291" t="s">
        <v>56</v>
      </c>
      <c r="D9" s="292">
        <v>0</v>
      </c>
      <c r="E9" s="310">
        <v>8</v>
      </c>
      <c r="F9" s="291" t="s">
        <v>56</v>
      </c>
      <c r="G9" s="292">
        <v>7.4409999999999998</v>
      </c>
      <c r="H9" s="293">
        <f>((E9-B9)*20+G9-D9)</f>
        <v>27.440999999999999</v>
      </c>
      <c r="I9" s="294">
        <f t="shared" si="0"/>
        <v>27.440999999999999</v>
      </c>
      <c r="J9" s="295">
        <v>100</v>
      </c>
      <c r="K9" s="312"/>
    </row>
    <row r="10" spans="1:11">
      <c r="A10" s="311" t="s">
        <v>353</v>
      </c>
      <c r="B10" s="310">
        <v>0</v>
      </c>
      <c r="C10" s="291" t="s">
        <v>56</v>
      </c>
      <c r="D10" s="292">
        <v>0</v>
      </c>
      <c r="E10" s="310">
        <v>6</v>
      </c>
      <c r="F10" s="291" t="s">
        <v>56</v>
      </c>
      <c r="G10" s="292">
        <v>7.4409999999999998</v>
      </c>
      <c r="H10" s="293">
        <f>((E10-B10)*20+G10-D10)</f>
        <v>127.441</v>
      </c>
      <c r="I10" s="294">
        <f t="shared" si="0"/>
        <v>127.441</v>
      </c>
      <c r="J10" s="295">
        <v>100</v>
      </c>
      <c r="K10" s="312" t="s">
        <v>354</v>
      </c>
    </row>
    <row r="11" spans="1:11">
      <c r="A11" s="311" t="s">
        <v>353</v>
      </c>
      <c r="B11" s="310">
        <v>10</v>
      </c>
      <c r="C11" s="291" t="s">
        <v>56</v>
      </c>
      <c r="D11" s="292">
        <v>0</v>
      </c>
      <c r="E11" s="310">
        <v>6</v>
      </c>
      <c r="F11" s="291" t="s">
        <v>56</v>
      </c>
      <c r="G11" s="292">
        <v>7.4409999999999998</v>
      </c>
      <c r="H11" s="293">
        <f>(((E11-B11)*20+G11-D11))*-1</f>
        <v>72.558999999999997</v>
      </c>
      <c r="I11" s="294">
        <f t="shared" si="0"/>
        <v>72.558999999999997</v>
      </c>
      <c r="J11" s="295">
        <v>100</v>
      </c>
      <c r="K11" s="312" t="s">
        <v>354</v>
      </c>
    </row>
    <row r="12" spans="1:11">
      <c r="A12" s="311" t="s">
        <v>353</v>
      </c>
      <c r="B12" s="310">
        <v>10</v>
      </c>
      <c r="C12" s="291" t="s">
        <v>56</v>
      </c>
      <c r="D12" s="292">
        <v>0</v>
      </c>
      <c r="E12" s="310">
        <v>13</v>
      </c>
      <c r="F12" s="291" t="s">
        <v>56</v>
      </c>
      <c r="G12" s="292">
        <v>12.718999999999999</v>
      </c>
      <c r="H12" s="293">
        <f t="shared" ref="H12:H21" si="1">((E12-B12)*20+G12-D12)</f>
        <v>72.718999999999994</v>
      </c>
      <c r="I12" s="294">
        <f t="shared" si="0"/>
        <v>72.718999999999994</v>
      </c>
      <c r="J12" s="295">
        <v>100</v>
      </c>
      <c r="K12" s="312" t="s">
        <v>352</v>
      </c>
    </row>
    <row r="13" spans="1:11">
      <c r="A13" s="311" t="s">
        <v>355</v>
      </c>
      <c r="B13" s="310">
        <v>4</v>
      </c>
      <c r="C13" s="291" t="s">
        <v>56</v>
      </c>
      <c r="D13" s="292">
        <v>0</v>
      </c>
      <c r="E13" s="310">
        <v>7</v>
      </c>
      <c r="F13" s="291" t="s">
        <v>56</v>
      </c>
      <c r="G13" s="292">
        <v>17.989999999999998</v>
      </c>
      <c r="H13" s="293">
        <f t="shared" si="1"/>
        <v>77.989999999999995</v>
      </c>
      <c r="I13" s="294">
        <f t="shared" si="0"/>
        <v>77.989999999999995</v>
      </c>
      <c r="J13" s="295">
        <v>100</v>
      </c>
      <c r="K13" s="312" t="s">
        <v>352</v>
      </c>
    </row>
    <row r="14" spans="1:11">
      <c r="A14" s="311" t="s">
        <v>356</v>
      </c>
      <c r="B14" s="310">
        <v>4</v>
      </c>
      <c r="C14" s="291" t="s">
        <v>56</v>
      </c>
      <c r="D14" s="292">
        <v>0</v>
      </c>
      <c r="E14" s="310">
        <v>7</v>
      </c>
      <c r="F14" s="291" t="s">
        <v>56</v>
      </c>
      <c r="G14" s="292">
        <v>8.5250000000000004</v>
      </c>
      <c r="H14" s="293">
        <f t="shared" si="1"/>
        <v>68.525000000000006</v>
      </c>
      <c r="I14" s="294">
        <f t="shared" si="0"/>
        <v>68.525000000000006</v>
      </c>
      <c r="J14" s="295">
        <v>100</v>
      </c>
      <c r="K14" s="312" t="s">
        <v>354</v>
      </c>
    </row>
    <row r="15" spans="1:11">
      <c r="A15" s="311" t="s">
        <v>357</v>
      </c>
      <c r="B15" s="310">
        <v>7</v>
      </c>
      <c r="C15" s="291" t="s">
        <v>56</v>
      </c>
      <c r="D15" s="292">
        <v>0</v>
      </c>
      <c r="E15" s="310">
        <v>11</v>
      </c>
      <c r="F15" s="291" t="s">
        <v>56</v>
      </c>
      <c r="G15" s="292">
        <v>4.9020000000000001</v>
      </c>
      <c r="H15" s="293">
        <f t="shared" si="1"/>
        <v>84.902000000000001</v>
      </c>
      <c r="I15" s="294">
        <f t="shared" si="0"/>
        <v>84.902000000000001</v>
      </c>
      <c r="J15" s="295">
        <v>100</v>
      </c>
      <c r="K15" s="312" t="s">
        <v>354</v>
      </c>
    </row>
    <row r="16" spans="1:11">
      <c r="A16" s="311" t="s">
        <v>358</v>
      </c>
      <c r="B16" s="310">
        <v>4</v>
      </c>
      <c r="C16" s="291" t="s">
        <v>56</v>
      </c>
      <c r="D16" s="292">
        <v>0</v>
      </c>
      <c r="E16" s="310">
        <v>7</v>
      </c>
      <c r="F16" s="291" t="s">
        <v>56</v>
      </c>
      <c r="G16" s="292">
        <v>9.6850000000000005</v>
      </c>
      <c r="H16" s="293">
        <f t="shared" si="1"/>
        <v>69.685000000000002</v>
      </c>
      <c r="I16" s="294">
        <f t="shared" si="0"/>
        <v>69.685000000000002</v>
      </c>
      <c r="J16" s="295">
        <v>100</v>
      </c>
      <c r="K16" s="312" t="s">
        <v>354</v>
      </c>
    </row>
    <row r="17" spans="1:11">
      <c r="A17" s="311" t="s">
        <v>359</v>
      </c>
      <c r="B17" s="310">
        <v>0</v>
      </c>
      <c r="C17" s="291" t="s">
        <v>56</v>
      </c>
      <c r="D17" s="292">
        <v>0</v>
      </c>
      <c r="E17" s="310">
        <v>2</v>
      </c>
      <c r="F17" s="291" t="s">
        <v>56</v>
      </c>
      <c r="G17" s="292">
        <v>0</v>
      </c>
      <c r="H17" s="293">
        <f t="shared" si="1"/>
        <v>40</v>
      </c>
      <c r="I17" s="294">
        <f t="shared" si="0"/>
        <v>40</v>
      </c>
      <c r="J17" s="295">
        <v>100</v>
      </c>
      <c r="K17" s="312" t="s">
        <v>352</v>
      </c>
    </row>
    <row r="18" spans="1:11">
      <c r="A18" s="311" t="s">
        <v>359</v>
      </c>
      <c r="B18" s="310">
        <v>2</v>
      </c>
      <c r="C18" s="291" t="s">
        <v>56</v>
      </c>
      <c r="D18" s="292">
        <v>0</v>
      </c>
      <c r="E18" s="310">
        <v>4</v>
      </c>
      <c r="F18" s="291" t="s">
        <v>56</v>
      </c>
      <c r="G18" s="292">
        <v>0</v>
      </c>
      <c r="H18" s="293">
        <f t="shared" si="1"/>
        <v>40</v>
      </c>
      <c r="I18" s="294">
        <f t="shared" si="0"/>
        <v>40</v>
      </c>
      <c r="J18" s="295">
        <v>100</v>
      </c>
      <c r="K18" s="312" t="s">
        <v>352</v>
      </c>
    </row>
    <row r="19" spans="1:11">
      <c r="A19" s="311" t="s">
        <v>359</v>
      </c>
      <c r="B19" s="310">
        <v>4</v>
      </c>
      <c r="C19" s="291" t="s">
        <v>56</v>
      </c>
      <c r="D19" s="292">
        <v>0</v>
      </c>
      <c r="E19" s="310">
        <v>7</v>
      </c>
      <c r="F19" s="291" t="s">
        <v>56</v>
      </c>
      <c r="G19" s="292">
        <v>0</v>
      </c>
      <c r="H19" s="293">
        <f t="shared" si="1"/>
        <v>60</v>
      </c>
      <c r="I19" s="294">
        <f t="shared" si="0"/>
        <v>60</v>
      </c>
      <c r="J19" s="295">
        <v>100</v>
      </c>
      <c r="K19" s="312" t="s">
        <v>352</v>
      </c>
    </row>
    <row r="20" spans="1:11">
      <c r="A20" s="311" t="s">
        <v>359</v>
      </c>
      <c r="B20" s="310">
        <v>7</v>
      </c>
      <c r="C20" s="291" t="s">
        <v>56</v>
      </c>
      <c r="D20" s="292">
        <v>0</v>
      </c>
      <c r="E20" s="310">
        <v>10</v>
      </c>
      <c r="F20" s="291" t="s">
        <v>56</v>
      </c>
      <c r="G20" s="292">
        <v>0</v>
      </c>
      <c r="H20" s="293">
        <f t="shared" si="1"/>
        <v>60</v>
      </c>
      <c r="I20" s="294">
        <f t="shared" si="0"/>
        <v>60</v>
      </c>
      <c r="J20" s="295">
        <v>100</v>
      </c>
      <c r="K20" s="312" t="s">
        <v>354</v>
      </c>
    </row>
    <row r="21" spans="1:11">
      <c r="A21" s="311" t="s">
        <v>359</v>
      </c>
      <c r="B21" s="310">
        <v>10</v>
      </c>
      <c r="C21" s="291" t="s">
        <v>56</v>
      </c>
      <c r="D21" s="292">
        <v>0</v>
      </c>
      <c r="E21" s="310">
        <v>15</v>
      </c>
      <c r="F21" s="291" t="s">
        <v>56</v>
      </c>
      <c r="G21" s="292">
        <v>0</v>
      </c>
      <c r="H21" s="293">
        <f t="shared" si="1"/>
        <v>100</v>
      </c>
      <c r="I21" s="294">
        <f t="shared" si="0"/>
        <v>100</v>
      </c>
      <c r="J21" s="295">
        <v>100</v>
      </c>
      <c r="K21" s="312" t="s">
        <v>354</v>
      </c>
    </row>
    <row r="22" spans="1:11">
      <c r="A22" s="311" t="s">
        <v>359</v>
      </c>
      <c r="B22" s="310">
        <v>22</v>
      </c>
      <c r="C22" s="291" t="s">
        <v>56</v>
      </c>
      <c r="D22" s="292">
        <v>0</v>
      </c>
      <c r="E22" s="310">
        <v>20</v>
      </c>
      <c r="F22" s="291" t="s">
        <v>56</v>
      </c>
      <c r="G22" s="292">
        <v>0</v>
      </c>
      <c r="H22" s="293">
        <f>(((E22-B22)*20+G22-D22))*-1</f>
        <v>40</v>
      </c>
      <c r="I22" s="294">
        <f t="shared" si="0"/>
        <v>40</v>
      </c>
      <c r="J22" s="295">
        <v>100</v>
      </c>
      <c r="K22" s="312" t="s">
        <v>354</v>
      </c>
    </row>
    <row r="23" spans="1:11">
      <c r="A23" s="311" t="s">
        <v>359</v>
      </c>
      <c r="B23" s="310">
        <v>20</v>
      </c>
      <c r="C23" s="291" t="s">
        <v>56</v>
      </c>
      <c r="D23" s="292">
        <v>0</v>
      </c>
      <c r="E23" s="310">
        <v>17</v>
      </c>
      <c r="F23" s="291" t="s">
        <v>56</v>
      </c>
      <c r="G23" s="292">
        <v>0</v>
      </c>
      <c r="H23" s="293">
        <f>(((E23-B23)*20+G23-D23))*-1</f>
        <v>60</v>
      </c>
      <c r="I23" s="294">
        <f t="shared" si="0"/>
        <v>60</v>
      </c>
      <c r="J23" s="295">
        <v>100</v>
      </c>
      <c r="K23" s="312" t="s">
        <v>352</v>
      </c>
    </row>
    <row r="24" spans="1:11">
      <c r="A24" s="311" t="s">
        <v>359</v>
      </c>
      <c r="B24" s="310">
        <v>17</v>
      </c>
      <c r="C24" s="291" t="s">
        <v>56</v>
      </c>
      <c r="D24" s="292">
        <v>0</v>
      </c>
      <c r="E24" s="310">
        <v>15</v>
      </c>
      <c r="F24" s="291" t="s">
        <v>56</v>
      </c>
      <c r="G24" s="292">
        <v>0</v>
      </c>
      <c r="H24" s="293">
        <f>(((E24-B24)*20+G24-D24))*-1</f>
        <v>40</v>
      </c>
      <c r="I24" s="294">
        <f t="shared" si="0"/>
        <v>40</v>
      </c>
      <c r="J24" s="295">
        <v>100</v>
      </c>
      <c r="K24" s="312" t="s">
        <v>352</v>
      </c>
    </row>
    <row r="25" spans="1:11">
      <c r="A25" s="311"/>
      <c r="B25" s="310"/>
      <c r="C25" s="291"/>
      <c r="D25" s="292"/>
      <c r="E25" s="310"/>
      <c r="F25" s="291"/>
      <c r="G25" s="292"/>
      <c r="H25" s="293"/>
      <c r="I25" s="294"/>
      <c r="J25" s="295"/>
      <c r="K25" s="312"/>
    </row>
    <row r="26" spans="1:11">
      <c r="A26" s="313"/>
      <c r="B26" s="995"/>
      <c r="C26" s="995"/>
      <c r="D26" s="995"/>
      <c r="E26" s="995"/>
      <c r="F26" s="995"/>
      <c r="G26" s="995"/>
      <c r="H26" s="296">
        <f>SUM(H8:H23)</f>
        <v>1141.2619999999999</v>
      </c>
      <c r="I26" s="296">
        <f>SUM(I8:I23)</f>
        <v>1141.2619999999999</v>
      </c>
      <c r="J26" s="996"/>
      <c r="K26" s="997"/>
    </row>
    <row r="27" spans="1:11" ht="13.5" thickBot="1">
      <c r="A27" s="314" t="s">
        <v>323</v>
      </c>
      <c r="B27" s="969"/>
      <c r="C27" s="969"/>
      <c r="D27" s="969"/>
      <c r="E27" s="969"/>
      <c r="F27" s="969"/>
      <c r="G27" s="969"/>
      <c r="H27" s="315">
        <f>ROUND((H26+I26),0)</f>
        <v>2283</v>
      </c>
      <c r="I27" s="316"/>
      <c r="J27" s="970"/>
      <c r="K27" s="971"/>
    </row>
  </sheetData>
  <mergeCells count="17">
    <mergeCell ref="J26:K26"/>
    <mergeCell ref="A3:K3"/>
    <mergeCell ref="A1:K1"/>
    <mergeCell ref="A2:K2"/>
    <mergeCell ref="B27:G27"/>
    <mergeCell ref="J27:K27"/>
    <mergeCell ref="A4:J4"/>
    <mergeCell ref="K4:K7"/>
    <mergeCell ref="A5:A7"/>
    <mergeCell ref="B5:G5"/>
    <mergeCell ref="H5:I5"/>
    <mergeCell ref="J5:J7"/>
    <mergeCell ref="B6:D7"/>
    <mergeCell ref="E6:G7"/>
    <mergeCell ref="H6:H7"/>
    <mergeCell ref="I6:I7"/>
    <mergeCell ref="B26:G2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12"/>
  <dimension ref="A1:I60"/>
  <sheetViews>
    <sheetView zoomScale="110" zoomScaleNormal="110" zoomScaleSheetLayoutView="110" workbookViewId="0">
      <selection activeCell="H8" sqref="H8"/>
    </sheetView>
  </sheetViews>
  <sheetFormatPr defaultRowHeight="12.75"/>
  <cols>
    <col min="1" max="1" width="13.7109375" customWidth="1"/>
    <col min="2" max="2" width="26.85546875" customWidth="1"/>
    <col min="3" max="3" width="15.42578125" bestFit="1" customWidth="1"/>
    <col min="4" max="4" width="11.7109375" bestFit="1" customWidth="1"/>
    <col min="5" max="5" width="6.140625" bestFit="1" customWidth="1"/>
    <col min="6" max="6" width="17.85546875" bestFit="1" customWidth="1"/>
    <col min="7" max="7" width="8.42578125" customWidth="1"/>
    <col min="8" max="8" width="10.42578125" customWidth="1"/>
    <col min="9" max="9" width="12.7109375" customWidth="1"/>
  </cols>
  <sheetData>
    <row r="1" spans="1:7">
      <c r="A1" s="998" t="s">
        <v>613</v>
      </c>
      <c r="B1" s="998"/>
      <c r="C1" s="998"/>
      <c r="D1" s="998"/>
      <c r="E1" s="998"/>
      <c r="F1" s="998"/>
      <c r="G1" s="998"/>
    </row>
    <row r="2" spans="1:7">
      <c r="A2" s="999"/>
      <c r="B2" s="1000"/>
      <c r="C2" s="1000"/>
      <c r="D2" s="1000"/>
      <c r="E2" s="1000"/>
      <c r="F2" s="1000"/>
      <c r="G2" s="1001"/>
    </row>
    <row r="3" spans="1:7">
      <c r="A3" s="1002" t="s">
        <v>256</v>
      </c>
      <c r="B3" s="1002"/>
      <c r="C3" s="54" t="s">
        <v>257</v>
      </c>
      <c r="D3" s="54" t="s">
        <v>258</v>
      </c>
      <c r="E3" s="210" t="s">
        <v>259</v>
      </c>
      <c r="F3" s="1003" t="s">
        <v>260</v>
      </c>
      <c r="G3" s="1002"/>
    </row>
    <row r="4" spans="1:7">
      <c r="A4" s="1002"/>
      <c r="B4" s="1002"/>
      <c r="C4" s="54" t="s">
        <v>261</v>
      </c>
      <c r="D4" s="54" t="s">
        <v>261</v>
      </c>
      <c r="E4" s="54" t="s">
        <v>262</v>
      </c>
      <c r="F4" s="1003"/>
      <c r="G4" s="1002"/>
    </row>
    <row r="5" spans="1:7">
      <c r="A5" s="1002" t="s">
        <v>353</v>
      </c>
      <c r="B5" s="1002"/>
      <c r="C5" s="1002"/>
      <c r="D5" s="1002"/>
      <c r="E5" s="1002"/>
      <c r="F5" s="1002"/>
      <c r="G5" s="15"/>
    </row>
    <row r="6" spans="1:7">
      <c r="A6" s="211" t="s">
        <v>263</v>
      </c>
      <c r="B6" s="54"/>
      <c r="C6" s="212">
        <v>242</v>
      </c>
      <c r="D6" s="212">
        <v>0.1</v>
      </c>
      <c r="E6" s="212">
        <f>D6*C6*0.25</f>
        <v>6.0500000000000007</v>
      </c>
      <c r="F6" s="13" t="s">
        <v>264</v>
      </c>
      <c r="G6" s="15"/>
    </row>
    <row r="7" spans="1:7">
      <c r="A7" s="211" t="s">
        <v>263</v>
      </c>
      <c r="B7" s="54"/>
      <c r="C7" s="212">
        <v>30</v>
      </c>
      <c r="D7" s="212">
        <v>0.1</v>
      </c>
      <c r="E7" s="212">
        <f>D7*C7</f>
        <v>3</v>
      </c>
      <c r="F7" s="13" t="s">
        <v>265</v>
      </c>
      <c r="G7" s="15"/>
    </row>
    <row r="8" spans="1:7">
      <c r="A8" s="1002" t="s">
        <v>351</v>
      </c>
      <c r="B8" s="1002"/>
      <c r="C8" s="1002"/>
      <c r="D8" s="1002"/>
      <c r="E8" s="1002"/>
      <c r="F8" s="1002"/>
      <c r="G8" s="15"/>
    </row>
    <row r="9" spans="1:7">
      <c r="A9" s="211" t="s">
        <v>263</v>
      </c>
      <c r="B9" s="54"/>
      <c r="C9" s="212">
        <v>73.44</v>
      </c>
      <c r="D9" s="212">
        <v>0.1</v>
      </c>
      <c r="E9" s="212">
        <f>D9*C9*0.25</f>
        <v>1.8360000000000001</v>
      </c>
      <c r="F9" s="13" t="s">
        <v>264</v>
      </c>
      <c r="G9" s="282"/>
    </row>
    <row r="10" spans="1:7">
      <c r="A10" s="211" t="s">
        <v>263</v>
      </c>
      <c r="B10" s="54"/>
      <c r="C10" s="212">
        <v>30</v>
      </c>
      <c r="D10" s="212">
        <v>0.1</v>
      </c>
      <c r="E10" s="212">
        <f>D10*C10</f>
        <v>3</v>
      </c>
      <c r="F10" s="13" t="s">
        <v>265</v>
      </c>
      <c r="G10" s="282"/>
    </row>
    <row r="11" spans="1:7">
      <c r="A11" s="1002" t="s">
        <v>355</v>
      </c>
      <c r="B11" s="1002"/>
      <c r="C11" s="1002"/>
      <c r="D11" s="1002"/>
      <c r="E11" s="1002"/>
      <c r="F11" s="1002"/>
      <c r="G11" s="282"/>
    </row>
    <row r="12" spans="1:7">
      <c r="A12" s="211" t="s">
        <v>263</v>
      </c>
      <c r="B12" s="54"/>
      <c r="C12" s="212">
        <v>127.99</v>
      </c>
      <c r="D12" s="212">
        <v>0.1</v>
      </c>
      <c r="E12" s="212">
        <f>D12*C12*0.25</f>
        <v>3.1997499999999999</v>
      </c>
      <c r="F12" s="13" t="s">
        <v>264</v>
      </c>
      <c r="G12" s="282"/>
    </row>
    <row r="13" spans="1:7">
      <c r="A13" s="211" t="s">
        <v>263</v>
      </c>
      <c r="B13" s="54"/>
      <c r="C13" s="212">
        <v>30</v>
      </c>
      <c r="D13" s="212">
        <v>0.1</v>
      </c>
      <c r="E13" s="212">
        <f>D13*C13</f>
        <v>3</v>
      </c>
      <c r="F13" s="13" t="s">
        <v>265</v>
      </c>
      <c r="G13" s="282"/>
    </row>
    <row r="14" spans="1:7">
      <c r="A14" s="1002" t="s">
        <v>376</v>
      </c>
      <c r="B14" s="1002"/>
      <c r="C14" s="1002"/>
      <c r="D14" s="1002"/>
      <c r="E14" s="1002"/>
      <c r="F14" s="1002"/>
      <c r="G14" s="282"/>
    </row>
    <row r="15" spans="1:7">
      <c r="A15" s="211" t="s">
        <v>263</v>
      </c>
      <c r="B15" s="54"/>
      <c r="C15" s="212">
        <v>132.971</v>
      </c>
      <c r="D15" s="212">
        <v>0.1</v>
      </c>
      <c r="E15" s="212">
        <f>D15*C15*0.25</f>
        <v>3.3242750000000001</v>
      </c>
      <c r="F15" s="13" t="s">
        <v>264</v>
      </c>
      <c r="G15" s="282"/>
    </row>
    <row r="16" spans="1:7">
      <c r="A16" s="211" t="s">
        <v>263</v>
      </c>
      <c r="B16" s="54"/>
      <c r="C16" s="212">
        <v>15</v>
      </c>
      <c r="D16" s="212">
        <v>0.1</v>
      </c>
      <c r="E16" s="212">
        <f>D16*C16</f>
        <v>1.5</v>
      </c>
      <c r="F16" s="13" t="s">
        <v>265</v>
      </c>
      <c r="G16" s="282"/>
    </row>
    <row r="17" spans="1:7">
      <c r="A17" s="1002" t="s">
        <v>377</v>
      </c>
      <c r="B17" s="1002"/>
      <c r="C17" s="1002"/>
      <c r="D17" s="1002"/>
      <c r="E17" s="1002"/>
      <c r="F17" s="1002"/>
      <c r="G17" s="282"/>
    </row>
    <row r="18" spans="1:7">
      <c r="A18" s="211" t="s">
        <v>263</v>
      </c>
      <c r="B18" s="54"/>
      <c r="C18" s="212">
        <v>133.52600000000001</v>
      </c>
      <c r="D18" s="212">
        <v>0.1</v>
      </c>
      <c r="E18" s="212">
        <f>D18*C18*0.25</f>
        <v>3.3381500000000006</v>
      </c>
      <c r="F18" s="13" t="s">
        <v>264</v>
      </c>
      <c r="G18" s="282"/>
    </row>
    <row r="19" spans="1:7">
      <c r="A19" s="211" t="s">
        <v>263</v>
      </c>
      <c r="B19" s="54"/>
      <c r="C19" s="212">
        <v>15</v>
      </c>
      <c r="D19" s="212">
        <v>0.1</v>
      </c>
      <c r="E19" s="212">
        <f>D19*C19</f>
        <v>1.5</v>
      </c>
      <c r="F19" s="13" t="s">
        <v>265</v>
      </c>
      <c r="G19" s="282"/>
    </row>
    <row r="20" spans="1:7">
      <c r="A20" s="1002" t="s">
        <v>378</v>
      </c>
      <c r="B20" s="1002"/>
      <c r="C20" s="1002"/>
      <c r="D20" s="1002"/>
      <c r="E20" s="1002"/>
      <c r="F20" s="1002"/>
      <c r="G20" s="282"/>
    </row>
    <row r="21" spans="1:7">
      <c r="A21" s="211" t="s">
        <v>263</v>
      </c>
      <c r="B21" s="54"/>
      <c r="C21" s="212">
        <v>52.015999999999998</v>
      </c>
      <c r="D21" s="212">
        <v>0.1</v>
      </c>
      <c r="E21" s="212">
        <f>D21*C21*0.25</f>
        <v>1.3004</v>
      </c>
      <c r="F21" s="13" t="s">
        <v>264</v>
      </c>
      <c r="G21" s="282"/>
    </row>
    <row r="22" spans="1:7">
      <c r="A22" s="211" t="s">
        <v>263</v>
      </c>
      <c r="B22" s="54"/>
      <c r="C22" s="212">
        <v>30</v>
      </c>
      <c r="D22" s="212">
        <v>0.1</v>
      </c>
      <c r="E22" s="212">
        <f>D22*C22</f>
        <v>3</v>
      </c>
      <c r="F22" s="13" t="s">
        <v>265</v>
      </c>
      <c r="G22" s="282"/>
    </row>
    <row r="23" spans="1:7">
      <c r="A23" s="1002" t="s">
        <v>379</v>
      </c>
      <c r="B23" s="1002"/>
      <c r="C23" s="1002"/>
      <c r="D23" s="1002"/>
      <c r="E23" s="1002"/>
      <c r="F23" s="1002"/>
      <c r="G23" s="282"/>
    </row>
    <row r="24" spans="1:7">
      <c r="A24" s="211" t="s">
        <v>263</v>
      </c>
      <c r="B24" s="54"/>
      <c r="C24" s="212">
        <v>209.90199999999999</v>
      </c>
      <c r="D24" s="212">
        <v>0.1</v>
      </c>
      <c r="E24" s="212">
        <f>D24*C24*0.25</f>
        <v>5.2475500000000004</v>
      </c>
      <c r="F24" s="13" t="s">
        <v>264</v>
      </c>
      <c r="G24" s="282"/>
    </row>
    <row r="25" spans="1:7">
      <c r="A25" s="211" t="s">
        <v>263</v>
      </c>
      <c r="B25" s="54"/>
      <c r="C25" s="212">
        <v>15</v>
      </c>
      <c r="D25" s="212">
        <v>0.1</v>
      </c>
      <c r="E25" s="212">
        <f>D25*C25</f>
        <v>1.5</v>
      </c>
      <c r="F25" s="13" t="s">
        <v>265</v>
      </c>
      <c r="G25" s="282"/>
    </row>
    <row r="26" spans="1:7">
      <c r="A26" s="1002" t="s">
        <v>358</v>
      </c>
      <c r="B26" s="1002"/>
      <c r="C26" s="1002"/>
      <c r="D26" s="1002"/>
      <c r="E26" s="1002"/>
      <c r="F26" s="1002"/>
      <c r="G26" s="282"/>
    </row>
    <row r="27" spans="1:7">
      <c r="A27" s="211" t="s">
        <v>263</v>
      </c>
      <c r="B27" s="54"/>
      <c r="C27" s="212">
        <v>119.658</v>
      </c>
      <c r="D27" s="212">
        <v>0.1</v>
      </c>
      <c r="E27" s="212">
        <f>D27*C27*0.25</f>
        <v>2.9914500000000004</v>
      </c>
      <c r="F27" s="13" t="s">
        <v>264</v>
      </c>
      <c r="G27" s="282"/>
    </row>
    <row r="28" spans="1:7">
      <c r="A28" s="211" t="s">
        <v>263</v>
      </c>
      <c r="B28" s="54"/>
      <c r="C28" s="212">
        <v>30</v>
      </c>
      <c r="D28" s="212">
        <v>0.1</v>
      </c>
      <c r="E28" s="212">
        <f>D28*C28</f>
        <v>3</v>
      </c>
      <c r="F28" s="13" t="s">
        <v>265</v>
      </c>
      <c r="G28" s="282"/>
    </row>
    <row r="29" spans="1:7">
      <c r="A29" s="1002" t="s">
        <v>380</v>
      </c>
      <c r="B29" s="1002"/>
      <c r="C29" s="1002"/>
      <c r="D29" s="1002"/>
      <c r="E29" s="1002"/>
      <c r="F29" s="1002"/>
      <c r="G29" s="282"/>
    </row>
    <row r="30" spans="1:7">
      <c r="A30" s="211" t="s">
        <v>263</v>
      </c>
      <c r="B30" s="54"/>
      <c r="C30" s="212">
        <v>116.131</v>
      </c>
      <c r="D30" s="212">
        <v>0.1</v>
      </c>
      <c r="E30" s="212">
        <f>D30*C30*0.25</f>
        <v>2.9032750000000003</v>
      </c>
      <c r="F30" s="13" t="s">
        <v>264</v>
      </c>
      <c r="G30" s="282"/>
    </row>
    <row r="31" spans="1:7">
      <c r="A31" s="211" t="s">
        <v>263</v>
      </c>
      <c r="B31" s="54"/>
      <c r="C31" s="212">
        <v>30</v>
      </c>
      <c r="D31" s="212">
        <v>0.1</v>
      </c>
      <c r="E31" s="212">
        <f>D31*C31</f>
        <v>3</v>
      </c>
      <c r="F31" s="13" t="s">
        <v>265</v>
      </c>
      <c r="G31" s="282"/>
    </row>
    <row r="32" spans="1:7">
      <c r="A32" s="1002" t="s">
        <v>381</v>
      </c>
      <c r="B32" s="1002"/>
      <c r="C32" s="1002"/>
      <c r="D32" s="1002"/>
      <c r="E32" s="1002"/>
      <c r="F32" s="1002"/>
      <c r="G32" s="282"/>
    </row>
    <row r="33" spans="1:9">
      <c r="A33" s="211" t="s">
        <v>263</v>
      </c>
      <c r="B33" s="54"/>
      <c r="C33" s="212">
        <v>115.684</v>
      </c>
      <c r="D33" s="212">
        <v>0.1</v>
      </c>
      <c r="E33" s="212">
        <f>D33*C33*0.25</f>
        <v>2.8921000000000001</v>
      </c>
      <c r="F33" s="13" t="s">
        <v>264</v>
      </c>
      <c r="G33" s="282"/>
    </row>
    <row r="34" spans="1:9">
      <c r="A34" s="211" t="s">
        <v>263</v>
      </c>
      <c r="B34" s="54"/>
      <c r="C34" s="212">
        <v>30</v>
      </c>
      <c r="D34" s="212">
        <v>0.1</v>
      </c>
      <c r="E34" s="212">
        <f>D34*C34</f>
        <v>3</v>
      </c>
      <c r="F34" s="13" t="s">
        <v>265</v>
      </c>
      <c r="G34" s="282"/>
      <c r="I34" s="202"/>
    </row>
    <row r="35" spans="1:9">
      <c r="A35" s="211"/>
      <c r="B35" s="54"/>
      <c r="C35" s="212"/>
      <c r="D35" s="212"/>
      <c r="E35" s="212"/>
      <c r="F35" s="13"/>
      <c r="G35" s="282"/>
      <c r="I35" s="202"/>
    </row>
    <row r="36" spans="1:9">
      <c r="A36" s="1002" t="s">
        <v>402</v>
      </c>
      <c r="B36" s="1002"/>
      <c r="C36" s="1002"/>
      <c r="D36" s="1002"/>
      <c r="E36" s="1002"/>
      <c r="F36" s="1002"/>
      <c r="G36" s="282"/>
    </row>
    <row r="37" spans="1:9">
      <c r="A37" s="211" t="s">
        <v>263</v>
      </c>
      <c r="B37" s="54"/>
      <c r="C37" s="212">
        <v>143.76499999999999</v>
      </c>
      <c r="D37" s="212">
        <v>0.1</v>
      </c>
      <c r="E37" s="212">
        <f>D37*C37*0.25</f>
        <v>3.594125</v>
      </c>
      <c r="F37" s="13" t="s">
        <v>264</v>
      </c>
      <c r="G37" s="282"/>
    </row>
    <row r="38" spans="1:9">
      <c r="A38" s="211" t="s">
        <v>263</v>
      </c>
      <c r="B38" s="54"/>
      <c r="C38" s="212">
        <v>15</v>
      </c>
      <c r="D38" s="212">
        <v>0.1</v>
      </c>
      <c r="E38" s="212">
        <f>D38*C38</f>
        <v>1.5</v>
      </c>
      <c r="F38" s="13" t="s">
        <v>265</v>
      </c>
      <c r="G38" s="282"/>
      <c r="I38" s="202"/>
    </row>
    <row r="39" spans="1:9">
      <c r="A39" s="211"/>
      <c r="B39" s="54"/>
      <c r="C39" s="212"/>
      <c r="D39" s="212"/>
      <c r="E39" s="212"/>
      <c r="F39" s="13"/>
      <c r="G39" s="282"/>
      <c r="I39" s="202"/>
    </row>
    <row r="40" spans="1:9">
      <c r="A40" s="1002" t="s">
        <v>398</v>
      </c>
      <c r="B40" s="1002"/>
      <c r="C40" s="1002"/>
      <c r="D40" s="1002"/>
      <c r="E40" s="1002"/>
      <c r="F40" s="1002"/>
      <c r="G40" s="282"/>
    </row>
    <row r="41" spans="1:9">
      <c r="A41" s="211" t="s">
        <v>263</v>
      </c>
      <c r="B41" s="54"/>
      <c r="C41" s="212">
        <v>125</v>
      </c>
      <c r="D41" s="212">
        <v>0.1</v>
      </c>
      <c r="E41" s="212">
        <f>D41*C41*0.25</f>
        <v>3.125</v>
      </c>
      <c r="F41" s="13" t="s">
        <v>264</v>
      </c>
      <c r="G41" s="282"/>
    </row>
    <row r="42" spans="1:9">
      <c r="A42" s="211" t="s">
        <v>263</v>
      </c>
      <c r="B42" s="54"/>
      <c r="C42" s="212">
        <v>15</v>
      </c>
      <c r="D42" s="212">
        <v>0.1</v>
      </c>
      <c r="E42" s="212">
        <f>D42*C42</f>
        <v>1.5</v>
      </c>
      <c r="F42" s="13" t="s">
        <v>265</v>
      </c>
      <c r="G42" s="282"/>
      <c r="I42" s="202"/>
    </row>
    <row r="43" spans="1:9">
      <c r="A43" s="211"/>
      <c r="B43" s="54"/>
      <c r="C43" s="212"/>
      <c r="D43" s="212"/>
      <c r="E43" s="212"/>
      <c r="F43" s="13"/>
      <c r="G43" s="282"/>
      <c r="I43" s="202"/>
    </row>
    <row r="44" spans="1:9">
      <c r="A44" s="1002" t="s">
        <v>359</v>
      </c>
      <c r="B44" s="1002"/>
      <c r="C44" s="1002"/>
      <c r="D44" s="1002"/>
      <c r="E44" s="1002"/>
      <c r="F44" s="1002"/>
      <c r="G44" s="282"/>
    </row>
    <row r="45" spans="1:9">
      <c r="A45" s="211" t="s">
        <v>263</v>
      </c>
      <c r="B45" s="54"/>
      <c r="C45" s="212">
        <v>502.40699999999998</v>
      </c>
      <c r="D45" s="212">
        <v>0.1</v>
      </c>
      <c r="E45" s="212">
        <f>D45*C45*0.25</f>
        <v>12.560175000000001</v>
      </c>
      <c r="F45" s="13" t="s">
        <v>264</v>
      </c>
      <c r="G45" s="282"/>
    </row>
    <row r="46" spans="1:9">
      <c r="A46" s="211" t="s">
        <v>263</v>
      </c>
      <c r="B46" s="54"/>
      <c r="C46" s="212">
        <v>30</v>
      </c>
      <c r="D46" s="212">
        <v>0.1</v>
      </c>
      <c r="E46" s="212">
        <f>D46*C46</f>
        <v>3</v>
      </c>
      <c r="F46" s="13" t="s">
        <v>265</v>
      </c>
      <c r="G46" s="282"/>
    </row>
    <row r="47" spans="1:9" ht="15.75">
      <c r="A47" s="1007" t="s">
        <v>266</v>
      </c>
      <c r="B47" s="1008"/>
      <c r="C47" s="1008"/>
      <c r="D47" s="1008"/>
      <c r="E47" s="1008"/>
      <c r="F47" s="1008"/>
      <c r="G47" s="1009"/>
    </row>
    <row r="48" spans="1:9">
      <c r="A48" s="54" t="s">
        <v>267</v>
      </c>
      <c r="B48" s="54" t="s">
        <v>14</v>
      </c>
      <c r="C48" s="213">
        <f>SUM(C6,C9,C12,C15,C18,C21,C24,C27,C30,C33,C45,C37,C41)</f>
        <v>2094.4899999999998</v>
      </c>
      <c r="D48" s="217" t="s">
        <v>7</v>
      </c>
      <c r="E48" s="214" t="s">
        <v>259</v>
      </c>
      <c r="F48" s="213">
        <f>SUM(E6,E9,E12,E15,E18,E21,E24,E27,E30,E33,E45,E37,E41)</f>
        <v>52.362250000000003</v>
      </c>
      <c r="G48" s="215" t="s">
        <v>5</v>
      </c>
    </row>
    <row r="49" spans="1:7">
      <c r="A49" s="54" t="s">
        <v>265</v>
      </c>
      <c r="B49" s="54" t="s">
        <v>268</v>
      </c>
      <c r="C49" s="213">
        <f>SUM(C7,C10,C13,C16,C19,C22,C25,C28,C31,C34,C46,C38,C42)</f>
        <v>315</v>
      </c>
      <c r="D49" s="217" t="s">
        <v>7</v>
      </c>
      <c r="E49" s="218" t="s">
        <v>259</v>
      </c>
      <c r="F49" s="213">
        <f>SUM(E7,E10,E13,E16,E19,E22,E25,E28,E31,E34,E3,E42,E38,E46)</f>
        <v>31.5</v>
      </c>
      <c r="G49" s="215" t="s">
        <v>5</v>
      </c>
    </row>
    <row r="50" spans="1:7">
      <c r="A50" s="998" t="s">
        <v>269</v>
      </c>
      <c r="B50" s="998"/>
      <c r="C50" s="216">
        <f>SUM(C48:C49)</f>
        <v>2409.4899999999998</v>
      </c>
      <c r="D50" s="217" t="s">
        <v>7</v>
      </c>
      <c r="E50" s="218"/>
      <c r="F50" s="213">
        <f>SUM(F48:F49)</f>
        <v>83.862250000000003</v>
      </c>
      <c r="G50" s="215" t="s">
        <v>5</v>
      </c>
    </row>
    <row r="51" spans="1:7">
      <c r="A51" s="54"/>
      <c r="B51" s="54"/>
      <c r="C51" s="218"/>
      <c r="D51" s="218"/>
      <c r="E51" s="218"/>
      <c r="F51" s="219"/>
      <c r="G51" s="55"/>
    </row>
    <row r="52" spans="1:7" ht="15.75">
      <c r="A52" s="301" t="s">
        <v>270</v>
      </c>
      <c r="B52" s="300"/>
      <c r="C52" s="300"/>
      <c r="D52" s="300"/>
      <c r="E52" s="218"/>
      <c r="F52" s="218"/>
      <c r="G52" s="54"/>
    </row>
    <row r="53" spans="1:7">
      <c r="A53" s="1006" t="s">
        <v>271</v>
      </c>
      <c r="B53" s="1006"/>
      <c r="C53" s="216">
        <v>754.14239999999995</v>
      </c>
      <c r="D53" s="215" t="s">
        <v>5</v>
      </c>
      <c r="E53" s="218"/>
      <c r="F53" s="218"/>
      <c r="G53" s="212"/>
    </row>
    <row r="54" spans="1:7" ht="12.75" hidden="1" customHeight="1">
      <c r="A54" s="1004" t="s">
        <v>278</v>
      </c>
      <c r="B54" s="1005"/>
      <c r="C54" s="216">
        <v>0</v>
      </c>
      <c r="D54" s="215" t="s">
        <v>5</v>
      </c>
      <c r="E54" s="218"/>
      <c r="F54" s="218"/>
      <c r="G54" s="212"/>
    </row>
    <row r="55" spans="1:7">
      <c r="A55" s="1004" t="s">
        <v>272</v>
      </c>
      <c r="B55" s="1005"/>
      <c r="C55" s="216">
        <f>(22*1.2)</f>
        <v>26.4</v>
      </c>
      <c r="D55" s="215" t="s">
        <v>5</v>
      </c>
      <c r="E55" s="218"/>
      <c r="F55" s="218"/>
      <c r="G55" s="54"/>
    </row>
    <row r="56" spans="1:7">
      <c r="A56" s="1004" t="s">
        <v>273</v>
      </c>
      <c r="B56" s="1005"/>
      <c r="C56" s="220">
        <f>F48</f>
        <v>52.362250000000003</v>
      </c>
      <c r="D56" s="215" t="s">
        <v>5</v>
      </c>
      <c r="E56" s="218"/>
      <c r="F56" s="218"/>
      <c r="G56" s="54"/>
    </row>
    <row r="57" spans="1:7">
      <c r="A57" s="215" t="s">
        <v>274</v>
      </c>
      <c r="B57" s="215"/>
      <c r="C57" s="216">
        <f>F49</f>
        <v>31.5</v>
      </c>
      <c r="D57" s="215" t="s">
        <v>5</v>
      </c>
      <c r="E57" s="218"/>
      <c r="F57" s="218"/>
      <c r="G57" s="54"/>
    </row>
    <row r="58" spans="1:7">
      <c r="A58" s="215" t="s">
        <v>275</v>
      </c>
      <c r="B58" s="215"/>
      <c r="C58" s="216">
        <f>C57+C56+C55+C53</f>
        <v>864.40464999999995</v>
      </c>
      <c r="D58" s="215" t="s">
        <v>5</v>
      </c>
      <c r="E58" s="54"/>
      <c r="F58" s="54"/>
      <c r="G58" s="54"/>
    </row>
    <row r="59" spans="1:7" hidden="1">
      <c r="A59" s="215" t="s">
        <v>277</v>
      </c>
      <c r="B59" s="215"/>
      <c r="C59" s="216">
        <v>0</v>
      </c>
      <c r="D59" s="215" t="s">
        <v>5</v>
      </c>
      <c r="E59" s="54"/>
      <c r="F59" s="54"/>
      <c r="G59" s="54"/>
    </row>
    <row r="60" spans="1:7">
      <c r="A60" s="215" t="s">
        <v>276</v>
      </c>
      <c r="B60" s="54"/>
      <c r="C60" s="216">
        <f>22*3.89+C55</f>
        <v>111.97999999999999</v>
      </c>
      <c r="D60" s="215" t="s">
        <v>5</v>
      </c>
      <c r="E60" s="54"/>
      <c r="F60" s="54"/>
      <c r="G60" s="54"/>
    </row>
  </sheetData>
  <mergeCells count="24">
    <mergeCell ref="A56:B56"/>
    <mergeCell ref="A54:B54"/>
    <mergeCell ref="A44:F44"/>
    <mergeCell ref="A17:F17"/>
    <mergeCell ref="A29:F29"/>
    <mergeCell ref="A32:F32"/>
    <mergeCell ref="A55:B55"/>
    <mergeCell ref="A53:B53"/>
    <mergeCell ref="A36:F36"/>
    <mergeCell ref="A40:F40"/>
    <mergeCell ref="A47:G47"/>
    <mergeCell ref="A50:B50"/>
    <mergeCell ref="A20:F20"/>
    <mergeCell ref="A1:G1"/>
    <mergeCell ref="A2:G2"/>
    <mergeCell ref="A23:F23"/>
    <mergeCell ref="A26:F26"/>
    <mergeCell ref="F3:F4"/>
    <mergeCell ref="A8:F8"/>
    <mergeCell ref="A11:F11"/>
    <mergeCell ref="A14:F14"/>
    <mergeCell ref="G3:G4"/>
    <mergeCell ref="A3:B4"/>
    <mergeCell ref="A5:F5"/>
  </mergeCells>
  <pageMargins left="0.511811024" right="0.511811024" top="0.78740157499999996" bottom="0.78740157499999996" header="0.31496062000000002" footer="0.31496062000000002"/>
  <pageSetup paperSize="9" scale="92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13"/>
  <dimension ref="A1:F63"/>
  <sheetViews>
    <sheetView zoomScale="110" zoomScaleNormal="110" zoomScaleSheetLayoutView="110" workbookViewId="0">
      <selection activeCell="J35" sqref="J35"/>
    </sheetView>
  </sheetViews>
  <sheetFormatPr defaultRowHeight="12.75"/>
  <cols>
    <col min="1" max="1" width="49.85546875" customWidth="1"/>
    <col min="2" max="2" width="25.7109375" customWidth="1"/>
    <col min="3" max="3" width="15.7109375" customWidth="1"/>
    <col min="4" max="4" width="19.42578125" customWidth="1"/>
    <col min="5" max="5" width="16.7109375" customWidth="1"/>
    <col min="6" max="6" width="20" customWidth="1"/>
  </cols>
  <sheetData>
    <row r="1" spans="1:6">
      <c r="A1" s="1010" t="s">
        <v>614</v>
      </c>
      <c r="B1" s="1011"/>
      <c r="C1" s="1011"/>
      <c r="D1" s="1011"/>
      <c r="E1" s="1011"/>
      <c r="F1" s="1012"/>
    </row>
    <row r="2" spans="1:6">
      <c r="A2" s="999"/>
      <c r="B2" s="1000"/>
      <c r="C2" s="1000"/>
      <c r="D2" s="1000"/>
      <c r="E2" s="1000"/>
      <c r="F2" s="1001"/>
    </row>
    <row r="3" spans="1:6">
      <c r="A3" s="54" t="s">
        <v>201</v>
      </c>
      <c r="B3" s="56" t="s">
        <v>202</v>
      </c>
      <c r="C3" s="56"/>
      <c r="D3" s="207"/>
      <c r="E3" s="56"/>
      <c r="F3" s="54" t="s">
        <v>203</v>
      </c>
    </row>
    <row r="4" spans="1:6">
      <c r="A4" s="54" t="s">
        <v>204</v>
      </c>
      <c r="B4" s="54" t="s">
        <v>205</v>
      </c>
      <c r="C4" s="54" t="s">
        <v>15</v>
      </c>
      <c r="D4" s="208" t="s">
        <v>206</v>
      </c>
      <c r="E4" s="54" t="s">
        <v>207</v>
      </c>
      <c r="F4" s="54"/>
    </row>
    <row r="5" spans="1:6">
      <c r="A5" s="999" t="s">
        <v>353</v>
      </c>
      <c r="B5" s="1000"/>
      <c r="C5" s="1000"/>
      <c r="D5" s="1000"/>
      <c r="E5" s="1000"/>
      <c r="F5" s="1001"/>
    </row>
    <row r="6" spans="1:6" ht="25.5" hidden="1">
      <c r="A6" s="55" t="s">
        <v>382</v>
      </c>
      <c r="B6" s="15" t="s">
        <v>208</v>
      </c>
      <c r="C6" s="57" t="s">
        <v>306</v>
      </c>
      <c r="D6" s="272">
        <v>0.6</v>
      </c>
      <c r="E6" s="58">
        <f>0.283</f>
        <v>0.28299999999999997</v>
      </c>
      <c r="F6" s="15"/>
    </row>
    <row r="7" spans="1:6" ht="25.5" hidden="1">
      <c r="A7" s="55" t="s">
        <v>382</v>
      </c>
      <c r="B7" s="15" t="s">
        <v>209</v>
      </c>
      <c r="C7" s="57" t="s">
        <v>307</v>
      </c>
      <c r="D7" s="272" t="s">
        <v>308</v>
      </c>
      <c r="E7" s="58">
        <f>(0.25*0.45)</f>
        <v>0.1125</v>
      </c>
      <c r="F7" s="15">
        <v>2</v>
      </c>
    </row>
    <row r="8" spans="1:6" ht="25.5" hidden="1">
      <c r="A8" s="55" t="s">
        <v>383</v>
      </c>
      <c r="B8" s="15" t="s">
        <v>208</v>
      </c>
      <c r="C8" s="57" t="s">
        <v>306</v>
      </c>
      <c r="D8" s="272">
        <v>0.6</v>
      </c>
      <c r="E8" s="58">
        <f>0.283</f>
        <v>0.28299999999999997</v>
      </c>
      <c r="F8" s="15"/>
    </row>
    <row r="9" spans="1:6" ht="25.5" hidden="1">
      <c r="A9" s="55" t="s">
        <v>383</v>
      </c>
      <c r="B9" s="15" t="s">
        <v>209</v>
      </c>
      <c r="C9" s="57" t="s">
        <v>307</v>
      </c>
      <c r="D9" s="272" t="s">
        <v>308</v>
      </c>
      <c r="E9" s="58">
        <f>(0.25*0.45)</f>
        <v>0.1125</v>
      </c>
      <c r="F9" s="15">
        <v>2</v>
      </c>
    </row>
    <row r="10" spans="1:6" hidden="1">
      <c r="A10" s="999" t="s">
        <v>355</v>
      </c>
      <c r="B10" s="1000"/>
      <c r="C10" s="1000"/>
      <c r="D10" s="1000"/>
      <c r="E10" s="1000"/>
      <c r="F10" s="1001"/>
    </row>
    <row r="11" spans="1:6" ht="25.5" hidden="1">
      <c r="A11" s="55" t="s">
        <v>384</v>
      </c>
      <c r="B11" s="15" t="s">
        <v>208</v>
      </c>
      <c r="C11" s="57" t="s">
        <v>306</v>
      </c>
      <c r="D11" s="272">
        <v>0.6</v>
      </c>
      <c r="E11" s="58">
        <f>0.283</f>
        <v>0.28299999999999997</v>
      </c>
      <c r="F11" s="15"/>
    </row>
    <row r="12" spans="1:6" ht="25.5" hidden="1">
      <c r="A12" s="55" t="s">
        <v>384</v>
      </c>
      <c r="B12" s="15" t="s">
        <v>209</v>
      </c>
      <c r="C12" s="57" t="s">
        <v>307</v>
      </c>
      <c r="D12" s="272" t="s">
        <v>308</v>
      </c>
      <c r="E12" s="58">
        <f>(0.25*0.45)</f>
        <v>0.1125</v>
      </c>
      <c r="F12" s="15">
        <v>2</v>
      </c>
    </row>
    <row r="13" spans="1:6" ht="25.5" hidden="1">
      <c r="A13" s="55" t="s">
        <v>385</v>
      </c>
      <c r="B13" s="15" t="s">
        <v>208</v>
      </c>
      <c r="C13" s="57" t="s">
        <v>306</v>
      </c>
      <c r="D13" s="272">
        <v>0.6</v>
      </c>
      <c r="E13" s="58">
        <f>0.283</f>
        <v>0.28299999999999997</v>
      </c>
      <c r="F13" s="15"/>
    </row>
    <row r="14" spans="1:6" ht="25.5" hidden="1">
      <c r="A14" s="55" t="s">
        <v>385</v>
      </c>
      <c r="B14" s="15" t="s">
        <v>209</v>
      </c>
      <c r="C14" s="57" t="s">
        <v>307</v>
      </c>
      <c r="D14" s="272" t="s">
        <v>308</v>
      </c>
      <c r="E14" s="58">
        <f>(0.25*0.45)</f>
        <v>0.1125</v>
      </c>
      <c r="F14" s="15">
        <v>2</v>
      </c>
    </row>
    <row r="15" spans="1:6" hidden="1">
      <c r="A15" s="999" t="s">
        <v>351</v>
      </c>
      <c r="B15" s="1000"/>
      <c r="C15" s="1000"/>
      <c r="D15" s="1000"/>
      <c r="E15" s="1000"/>
      <c r="F15" s="1001"/>
    </row>
    <row r="16" spans="1:6" ht="25.5" hidden="1">
      <c r="A16" s="55" t="s">
        <v>382</v>
      </c>
      <c r="B16" s="15" t="s">
        <v>208</v>
      </c>
      <c r="C16" s="57" t="s">
        <v>306</v>
      </c>
      <c r="D16" s="272">
        <v>0.6</v>
      </c>
      <c r="E16" s="58">
        <f>0.283</f>
        <v>0.28299999999999997</v>
      </c>
      <c r="F16" s="15"/>
    </row>
    <row r="17" spans="1:6" ht="25.5" hidden="1">
      <c r="A17" s="55" t="s">
        <v>382</v>
      </c>
      <c r="B17" s="15" t="s">
        <v>209</v>
      </c>
      <c r="C17" s="57" t="s">
        <v>307</v>
      </c>
      <c r="D17" s="272" t="s">
        <v>308</v>
      </c>
      <c r="E17" s="58">
        <f>(0.25*0.45)</f>
        <v>0.1125</v>
      </c>
      <c r="F17" s="15">
        <v>2</v>
      </c>
    </row>
    <row r="18" spans="1:6" ht="25.5" hidden="1">
      <c r="A18" s="55" t="s">
        <v>386</v>
      </c>
      <c r="B18" s="15" t="s">
        <v>208</v>
      </c>
      <c r="C18" s="57" t="s">
        <v>306</v>
      </c>
      <c r="D18" s="272">
        <v>0.6</v>
      </c>
      <c r="E18" s="58">
        <f>0.283</f>
        <v>0.28299999999999997</v>
      </c>
      <c r="F18" s="15"/>
    </row>
    <row r="19" spans="1:6" hidden="1">
      <c r="A19" s="999" t="s">
        <v>376</v>
      </c>
      <c r="B19" s="1000"/>
      <c r="C19" s="1000"/>
      <c r="D19" s="1000"/>
      <c r="E19" s="1000"/>
      <c r="F19" s="1001"/>
    </row>
    <row r="20" spans="1:6" ht="25.5" hidden="1">
      <c r="A20" s="55" t="s">
        <v>387</v>
      </c>
      <c r="B20" s="15" t="s">
        <v>208</v>
      </c>
      <c r="C20" s="57" t="s">
        <v>306</v>
      </c>
      <c r="D20" s="272">
        <v>0.6</v>
      </c>
      <c r="E20" s="58">
        <f>0.283</f>
        <v>0.28299999999999997</v>
      </c>
      <c r="F20" s="15"/>
    </row>
    <row r="21" spans="1:6" ht="25.5" hidden="1">
      <c r="A21" s="55" t="s">
        <v>387</v>
      </c>
      <c r="B21" s="15" t="s">
        <v>209</v>
      </c>
      <c r="C21" s="57" t="s">
        <v>307</v>
      </c>
      <c r="D21" s="272" t="s">
        <v>308</v>
      </c>
      <c r="E21" s="58">
        <f>(0.25*0.45)</f>
        <v>0.1125</v>
      </c>
      <c r="F21" s="15">
        <v>2</v>
      </c>
    </row>
    <row r="22" spans="1:6" hidden="1">
      <c r="A22" s="999" t="s">
        <v>377</v>
      </c>
      <c r="B22" s="1000"/>
      <c r="C22" s="1000"/>
      <c r="D22" s="1000"/>
      <c r="E22" s="1000"/>
      <c r="F22" s="1001"/>
    </row>
    <row r="23" spans="1:6" ht="25.5" hidden="1">
      <c r="A23" s="55" t="s">
        <v>388</v>
      </c>
      <c r="B23" s="15" t="s">
        <v>208</v>
      </c>
      <c r="C23" s="57" t="s">
        <v>306</v>
      </c>
      <c r="D23" s="272">
        <v>0.6</v>
      </c>
      <c r="E23" s="58">
        <f>0.283</f>
        <v>0.28299999999999997</v>
      </c>
      <c r="F23" s="15"/>
    </row>
    <row r="24" spans="1:6" ht="25.5" hidden="1">
      <c r="A24" s="55" t="s">
        <v>388</v>
      </c>
      <c r="B24" s="15" t="s">
        <v>209</v>
      </c>
      <c r="C24" s="57" t="s">
        <v>307</v>
      </c>
      <c r="D24" s="272" t="s">
        <v>308</v>
      </c>
      <c r="E24" s="58">
        <f>(0.25*0.45)</f>
        <v>0.1125</v>
      </c>
      <c r="F24" s="15">
        <v>2</v>
      </c>
    </row>
    <row r="25" spans="1:6" hidden="1">
      <c r="A25" s="999" t="s">
        <v>379</v>
      </c>
      <c r="B25" s="1000"/>
      <c r="C25" s="1000"/>
      <c r="D25" s="1000"/>
      <c r="E25" s="1000"/>
      <c r="F25" s="1001"/>
    </row>
    <row r="26" spans="1:6" ht="25.5" hidden="1">
      <c r="A26" s="55" t="s">
        <v>389</v>
      </c>
      <c r="B26" s="15" t="s">
        <v>208</v>
      </c>
      <c r="C26" s="57" t="s">
        <v>306</v>
      </c>
      <c r="D26" s="272">
        <v>0.6</v>
      </c>
      <c r="E26" s="58">
        <f>0.283</f>
        <v>0.28299999999999997</v>
      </c>
      <c r="F26" s="15"/>
    </row>
    <row r="27" spans="1:6" ht="25.5" hidden="1">
      <c r="A27" s="55" t="s">
        <v>389</v>
      </c>
      <c r="B27" s="15" t="s">
        <v>209</v>
      </c>
      <c r="C27" s="57" t="s">
        <v>307</v>
      </c>
      <c r="D27" s="272" t="s">
        <v>308</v>
      </c>
      <c r="E27" s="58">
        <f>(0.25*0.45)</f>
        <v>0.1125</v>
      </c>
      <c r="F27" s="15">
        <v>2</v>
      </c>
    </row>
    <row r="28" spans="1:6" hidden="1">
      <c r="A28" s="999" t="s">
        <v>378</v>
      </c>
      <c r="B28" s="1000"/>
      <c r="C28" s="1000"/>
      <c r="D28" s="1000"/>
      <c r="E28" s="1000"/>
      <c r="F28" s="1001"/>
    </row>
    <row r="29" spans="1:6" ht="25.5" hidden="1">
      <c r="A29" s="55" t="s">
        <v>390</v>
      </c>
      <c r="B29" s="15" t="s">
        <v>208</v>
      </c>
      <c r="C29" s="57" t="s">
        <v>306</v>
      </c>
      <c r="D29" s="272">
        <v>0.6</v>
      </c>
      <c r="E29" s="58">
        <f>0.283</f>
        <v>0.28299999999999997</v>
      </c>
      <c r="F29" s="15"/>
    </row>
    <row r="30" spans="1:6" ht="25.5" hidden="1">
      <c r="A30" s="55" t="s">
        <v>390</v>
      </c>
      <c r="B30" s="15" t="s">
        <v>209</v>
      </c>
      <c r="C30" s="57" t="s">
        <v>307</v>
      </c>
      <c r="D30" s="272" t="s">
        <v>308</v>
      </c>
      <c r="E30" s="58">
        <f>(0.25*0.45)</f>
        <v>0.1125</v>
      </c>
      <c r="F30" s="15">
        <v>2</v>
      </c>
    </row>
    <row r="31" spans="1:6" ht="25.5" hidden="1">
      <c r="A31" s="55" t="s">
        <v>391</v>
      </c>
      <c r="B31" s="15" t="s">
        <v>208</v>
      </c>
      <c r="C31" s="57" t="s">
        <v>306</v>
      </c>
      <c r="D31" s="272">
        <v>0.6</v>
      </c>
      <c r="E31" s="58">
        <f>0.283</f>
        <v>0.28299999999999997</v>
      </c>
      <c r="F31" s="15"/>
    </row>
    <row r="32" spans="1:6" ht="25.5" hidden="1">
      <c r="A32" s="55" t="s">
        <v>391</v>
      </c>
      <c r="B32" s="15" t="s">
        <v>209</v>
      </c>
      <c r="C32" s="57" t="s">
        <v>307</v>
      </c>
      <c r="D32" s="272" t="s">
        <v>308</v>
      </c>
      <c r="E32" s="58">
        <f>(0.25*0.45)</f>
        <v>0.1125</v>
      </c>
      <c r="F32" s="15">
        <v>2</v>
      </c>
    </row>
    <row r="33" spans="1:6">
      <c r="A33" s="999" t="s">
        <v>358</v>
      </c>
      <c r="B33" s="1000"/>
      <c r="C33" s="1000"/>
      <c r="D33" s="1000"/>
      <c r="E33" s="1000"/>
      <c r="F33" s="1001"/>
    </row>
    <row r="34" spans="1:6" ht="25.5">
      <c r="A34" s="55" t="s">
        <v>391</v>
      </c>
      <c r="B34" s="15" t="s">
        <v>208</v>
      </c>
      <c r="C34" s="57" t="s">
        <v>306</v>
      </c>
      <c r="D34" s="272">
        <v>0.6</v>
      </c>
      <c r="E34" s="58">
        <f>0.283</f>
        <v>0.28299999999999997</v>
      </c>
      <c r="F34" s="15"/>
    </row>
    <row r="35" spans="1:6" ht="25.5">
      <c r="A35" s="55" t="s">
        <v>391</v>
      </c>
      <c r="B35" s="15" t="s">
        <v>209</v>
      </c>
      <c r="C35" s="57" t="s">
        <v>307</v>
      </c>
      <c r="D35" s="272" t="s">
        <v>308</v>
      </c>
      <c r="E35" s="58">
        <f>(0.25*0.45)</f>
        <v>0.1125</v>
      </c>
      <c r="F35" s="15">
        <v>2</v>
      </c>
    </row>
    <row r="36" spans="1:6" ht="25.5">
      <c r="A36" s="55" t="s">
        <v>392</v>
      </c>
      <c r="B36" s="15" t="s">
        <v>208</v>
      </c>
      <c r="C36" s="57" t="s">
        <v>306</v>
      </c>
      <c r="D36" s="272">
        <v>0.6</v>
      </c>
      <c r="E36" s="58">
        <f>0.283</f>
        <v>0.28299999999999997</v>
      </c>
      <c r="F36" s="15"/>
    </row>
    <row r="37" spans="1:6" ht="25.5">
      <c r="A37" s="55" t="s">
        <v>392</v>
      </c>
      <c r="B37" s="15" t="s">
        <v>209</v>
      </c>
      <c r="C37" s="57" t="s">
        <v>307</v>
      </c>
      <c r="D37" s="272" t="s">
        <v>308</v>
      </c>
      <c r="E37" s="58">
        <f>(0.25*0.45)</f>
        <v>0.1125</v>
      </c>
      <c r="F37" s="15">
        <v>2</v>
      </c>
    </row>
    <row r="38" spans="1:6">
      <c r="A38" s="999" t="s">
        <v>381</v>
      </c>
      <c r="B38" s="1000"/>
      <c r="C38" s="1000"/>
      <c r="D38" s="1000"/>
      <c r="E38" s="1000"/>
      <c r="F38" s="1001"/>
    </row>
    <row r="39" spans="1:6" ht="25.5">
      <c r="A39" s="55" t="s">
        <v>393</v>
      </c>
      <c r="B39" s="15" t="s">
        <v>208</v>
      </c>
      <c r="C39" s="57" t="s">
        <v>306</v>
      </c>
      <c r="D39" s="272">
        <v>0.6</v>
      </c>
      <c r="E39" s="58">
        <f>0.283</f>
        <v>0.28299999999999997</v>
      </c>
      <c r="F39" s="15"/>
    </row>
    <row r="40" spans="1:6" ht="25.5">
      <c r="A40" s="55" t="s">
        <v>393</v>
      </c>
      <c r="B40" s="15" t="s">
        <v>209</v>
      </c>
      <c r="C40" s="57" t="s">
        <v>307</v>
      </c>
      <c r="D40" s="272" t="s">
        <v>308</v>
      </c>
      <c r="E40" s="58">
        <f>(0.25*0.45)</f>
        <v>0.1125</v>
      </c>
      <c r="F40" s="15">
        <v>2</v>
      </c>
    </row>
    <row r="41" spans="1:6" ht="25.5">
      <c r="A41" s="55" t="s">
        <v>394</v>
      </c>
      <c r="B41" s="15" t="s">
        <v>208</v>
      </c>
      <c r="C41" s="57" t="s">
        <v>306</v>
      </c>
      <c r="D41" s="272">
        <v>0.6</v>
      </c>
      <c r="E41" s="58">
        <f>0.283*2</f>
        <v>0.56599999999999995</v>
      </c>
      <c r="F41" s="15"/>
    </row>
    <row r="42" spans="1:6" ht="25.5">
      <c r="A42" s="55" t="s">
        <v>394</v>
      </c>
      <c r="B42" s="15" t="s">
        <v>209</v>
      </c>
      <c r="C42" s="57" t="s">
        <v>307</v>
      </c>
      <c r="D42" s="272" t="s">
        <v>308</v>
      </c>
      <c r="E42" s="58">
        <f>(0.25*0.45)</f>
        <v>0.1125</v>
      </c>
      <c r="F42" s="15">
        <v>2</v>
      </c>
    </row>
    <row r="43" spans="1:6">
      <c r="A43" s="999" t="s">
        <v>380</v>
      </c>
      <c r="B43" s="1000"/>
      <c r="C43" s="1000"/>
      <c r="D43" s="1000"/>
      <c r="E43" s="1000"/>
      <c r="F43" s="1001"/>
    </row>
    <row r="44" spans="1:6" ht="25.5">
      <c r="A44" s="55" t="s">
        <v>391</v>
      </c>
      <c r="B44" s="15" t="s">
        <v>208</v>
      </c>
      <c r="C44" s="57" t="s">
        <v>306</v>
      </c>
      <c r="D44" s="272">
        <v>0.6</v>
      </c>
      <c r="E44" s="58">
        <f>0.283</f>
        <v>0.28299999999999997</v>
      </c>
      <c r="F44" s="15"/>
    </row>
    <row r="45" spans="1:6" ht="25.5">
      <c r="A45" s="55" t="s">
        <v>391</v>
      </c>
      <c r="B45" s="15" t="s">
        <v>209</v>
      </c>
      <c r="C45" s="57" t="s">
        <v>307</v>
      </c>
      <c r="D45" s="272" t="s">
        <v>308</v>
      </c>
      <c r="E45" s="58">
        <f>(0.25*0.45)</f>
        <v>0.1125</v>
      </c>
      <c r="F45" s="15">
        <v>2</v>
      </c>
    </row>
    <row r="46" spans="1:6" ht="25.5">
      <c r="A46" s="55" t="s">
        <v>395</v>
      </c>
      <c r="B46" s="15" t="s">
        <v>208</v>
      </c>
      <c r="C46" s="57" t="s">
        <v>306</v>
      </c>
      <c r="D46" s="272">
        <v>0.6</v>
      </c>
      <c r="E46" s="58">
        <f>0.283</f>
        <v>0.28299999999999997</v>
      </c>
      <c r="F46" s="15"/>
    </row>
    <row r="47" spans="1:6" ht="25.5">
      <c r="A47" s="55" t="s">
        <v>395</v>
      </c>
      <c r="B47" s="15" t="s">
        <v>209</v>
      </c>
      <c r="C47" s="57" t="s">
        <v>307</v>
      </c>
      <c r="D47" s="272" t="s">
        <v>308</v>
      </c>
      <c r="E47" s="58">
        <f>(0.25*0.45)</f>
        <v>0.1125</v>
      </c>
      <c r="F47" s="15">
        <v>2</v>
      </c>
    </row>
    <row r="48" spans="1:6">
      <c r="A48" s="999" t="s">
        <v>396</v>
      </c>
      <c r="B48" s="1000"/>
      <c r="C48" s="1000"/>
      <c r="D48" s="1000"/>
      <c r="E48" s="1000"/>
      <c r="F48" s="1001"/>
    </row>
    <row r="49" spans="1:6" ht="25.5">
      <c r="A49" s="55" t="s">
        <v>397</v>
      </c>
      <c r="B49" s="15" t="s">
        <v>208</v>
      </c>
      <c r="C49" s="57" t="s">
        <v>306</v>
      </c>
      <c r="D49" s="272">
        <v>0.6</v>
      </c>
      <c r="E49" s="58">
        <f>0.283</f>
        <v>0.28299999999999997</v>
      </c>
      <c r="F49" s="15"/>
    </row>
    <row r="50" spans="1:6" ht="25.5">
      <c r="A50" s="55" t="s">
        <v>397</v>
      </c>
      <c r="B50" s="15" t="s">
        <v>209</v>
      </c>
      <c r="C50" s="57" t="s">
        <v>307</v>
      </c>
      <c r="D50" s="272" t="s">
        <v>308</v>
      </c>
      <c r="E50" s="58">
        <f>(0.25*0.45)</f>
        <v>0.1125</v>
      </c>
      <c r="F50" s="15">
        <v>2</v>
      </c>
    </row>
    <row r="51" spans="1:6">
      <c r="A51" s="999" t="s">
        <v>398</v>
      </c>
      <c r="B51" s="1000"/>
      <c r="C51" s="1000"/>
      <c r="D51" s="1000"/>
      <c r="E51" s="1000"/>
      <c r="F51" s="1001"/>
    </row>
    <row r="52" spans="1:6" ht="25.5">
      <c r="A52" s="55" t="s">
        <v>397</v>
      </c>
      <c r="B52" s="15" t="s">
        <v>208</v>
      </c>
      <c r="C52" s="57" t="s">
        <v>306</v>
      </c>
      <c r="D52" s="272">
        <v>0.6</v>
      </c>
      <c r="E52" s="58">
        <f>0.283</f>
        <v>0.28299999999999997</v>
      </c>
      <c r="F52" s="15"/>
    </row>
    <row r="53" spans="1:6" ht="25.5">
      <c r="A53" s="55" t="s">
        <v>397</v>
      </c>
      <c r="B53" s="15" t="s">
        <v>209</v>
      </c>
      <c r="C53" s="57" t="s">
        <v>307</v>
      </c>
      <c r="D53" s="272" t="s">
        <v>308</v>
      </c>
      <c r="E53" s="58">
        <f>(0.25*0.45)</f>
        <v>0.1125</v>
      </c>
      <c r="F53" s="15">
        <v>2</v>
      </c>
    </row>
    <row r="54" spans="1:6">
      <c r="A54" s="999" t="s">
        <v>399</v>
      </c>
      <c r="B54" s="1000"/>
      <c r="C54" s="1000"/>
      <c r="D54" s="1000"/>
      <c r="E54" s="1000"/>
      <c r="F54" s="1001"/>
    </row>
    <row r="55" spans="1:6" ht="25.5">
      <c r="A55" s="55" t="s">
        <v>397</v>
      </c>
      <c r="B55" s="15" t="s">
        <v>208</v>
      </c>
      <c r="C55" s="57" t="s">
        <v>306</v>
      </c>
      <c r="D55" s="272">
        <v>0.6</v>
      </c>
      <c r="E55" s="58">
        <f>0.283</f>
        <v>0.28299999999999997</v>
      </c>
      <c r="F55" s="15"/>
    </row>
    <row r="56" spans="1:6" ht="25.5">
      <c r="A56" s="55" t="s">
        <v>397</v>
      </c>
      <c r="B56" s="15" t="s">
        <v>209</v>
      </c>
      <c r="C56" s="57" t="s">
        <v>307</v>
      </c>
      <c r="D56" s="272" t="s">
        <v>308</v>
      </c>
      <c r="E56" s="58">
        <f>(0.25*0.45)</f>
        <v>0.1125</v>
      </c>
      <c r="F56" s="15">
        <v>2</v>
      </c>
    </row>
    <row r="57" spans="1:6">
      <c r="A57" s="999" t="s">
        <v>359</v>
      </c>
      <c r="B57" s="1000"/>
      <c r="C57" s="1000"/>
      <c r="D57" s="1000"/>
      <c r="E57" s="1000"/>
      <c r="F57" s="1001"/>
    </row>
    <row r="58" spans="1:6" ht="25.5">
      <c r="A58" s="55" t="s">
        <v>400</v>
      </c>
      <c r="B58" s="15" t="s">
        <v>208</v>
      </c>
      <c r="C58" s="57" t="s">
        <v>306</v>
      </c>
      <c r="D58" s="272">
        <v>0.6</v>
      </c>
      <c r="E58" s="58">
        <f>0.283</f>
        <v>0.28299999999999997</v>
      </c>
      <c r="F58" s="15"/>
    </row>
    <row r="59" spans="1:6" ht="25.5">
      <c r="A59" s="55" t="s">
        <v>400</v>
      </c>
      <c r="B59" s="15" t="s">
        <v>209</v>
      </c>
      <c r="C59" s="57" t="s">
        <v>307</v>
      </c>
      <c r="D59" s="272" t="s">
        <v>308</v>
      </c>
      <c r="E59" s="58">
        <f>(0.25*0.45)</f>
        <v>0.1125</v>
      </c>
      <c r="F59" s="15">
        <v>2</v>
      </c>
    </row>
    <row r="60" spans="1:6" ht="25.5">
      <c r="A60" s="55" t="s">
        <v>401</v>
      </c>
      <c r="B60" s="15" t="s">
        <v>208</v>
      </c>
      <c r="C60" s="57" t="s">
        <v>306</v>
      </c>
      <c r="D60" s="272">
        <v>0.6</v>
      </c>
      <c r="E60" s="58">
        <f>0.283</f>
        <v>0.28299999999999997</v>
      </c>
      <c r="F60" s="15"/>
    </row>
    <row r="61" spans="1:6" ht="25.5">
      <c r="A61" s="55" t="s">
        <v>401</v>
      </c>
      <c r="B61" s="15" t="s">
        <v>209</v>
      </c>
      <c r="C61" s="57" t="s">
        <v>307</v>
      </c>
      <c r="D61" s="272" t="s">
        <v>308</v>
      </c>
      <c r="E61" s="58">
        <f>(0.25*0.45)</f>
        <v>0.1125</v>
      </c>
      <c r="F61" s="15">
        <v>2</v>
      </c>
    </row>
    <row r="62" spans="1:6">
      <c r="A62" s="15" t="s">
        <v>208</v>
      </c>
      <c r="B62" s="13"/>
      <c r="C62" s="13"/>
      <c r="D62" s="209" t="s">
        <v>210</v>
      </c>
      <c r="E62" s="53">
        <f>SUM(E6,E8,E11,E13,E16,E18,E20,E23,E26,E29,E34,E36,E39,E41,E44,E49,E52,E55,E46,E58,E60)</f>
        <v>6.2260000000000018</v>
      </c>
      <c r="F62" s="14"/>
    </row>
    <row r="63" spans="1:6">
      <c r="A63" s="15" t="s">
        <v>209</v>
      </c>
      <c r="B63" s="13"/>
      <c r="C63" s="13"/>
      <c r="D63" s="209" t="s">
        <v>211</v>
      </c>
      <c r="E63" s="53">
        <f>SUM(F7,F9,F12,F14,F17,F21,F24,F27,F30,F35,F37,F40,F42,F45,F50,F53,F56,F59,F61,F47)</f>
        <v>40</v>
      </c>
      <c r="F63" s="14"/>
    </row>
  </sheetData>
  <mergeCells count="16">
    <mergeCell ref="A10:F10"/>
    <mergeCell ref="A15:F15"/>
    <mergeCell ref="A19:F19"/>
    <mergeCell ref="A1:F1"/>
    <mergeCell ref="A2:F2"/>
    <mergeCell ref="A5:F5"/>
    <mergeCell ref="A57:F57"/>
    <mergeCell ref="A48:F48"/>
    <mergeCell ref="A51:F51"/>
    <mergeCell ref="A54:F54"/>
    <mergeCell ref="A22:F22"/>
    <mergeCell ref="A25:F25"/>
    <mergeCell ref="A28:F28"/>
    <mergeCell ref="A33:F33"/>
    <mergeCell ref="A38:F38"/>
    <mergeCell ref="A43:F43"/>
  </mergeCells>
  <pageMargins left="0.511811024" right="0.511811024" top="0.78740157499999996" bottom="0.78740157499999996" header="0.31496062000000002" footer="0.31496062000000002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H111"/>
  <sheetViews>
    <sheetView tabSelected="1" zoomScale="106" zoomScaleNormal="106" zoomScaleSheetLayoutView="110" workbookViewId="0">
      <pane ySplit="6" topLeftCell="A58" activePane="bottomLeft" state="frozen"/>
      <selection pane="bottomLeft" activeCell="D73" sqref="D73"/>
    </sheetView>
  </sheetViews>
  <sheetFormatPr defaultRowHeight="12.75"/>
  <cols>
    <col min="1" max="1" width="7.140625" customWidth="1"/>
    <col min="2" max="2" width="11.28515625" style="17" customWidth="1"/>
    <col min="3" max="3" width="12.7109375" customWidth="1"/>
    <col min="4" max="4" width="83.28515625" customWidth="1"/>
    <col min="5" max="5" width="9.5703125" customWidth="1"/>
    <col min="6" max="6" width="13.28515625" style="205" bestFit="1" customWidth="1"/>
    <col min="8" max="8" width="12.5703125" customWidth="1"/>
  </cols>
  <sheetData>
    <row r="1" spans="1:8" ht="18.75" customHeight="1">
      <c r="A1" s="625" t="s">
        <v>81</v>
      </c>
      <c r="B1" s="626"/>
      <c r="C1" s="626"/>
      <c r="D1" s="626"/>
      <c r="E1" s="626"/>
      <c r="F1" s="623" t="s">
        <v>38</v>
      </c>
    </row>
    <row r="2" spans="1:8" ht="15.75" customHeight="1">
      <c r="A2" s="627" t="s">
        <v>612</v>
      </c>
      <c r="B2" s="628"/>
      <c r="C2" s="628"/>
      <c r="D2" s="628"/>
      <c r="E2" s="628"/>
      <c r="F2" s="624"/>
    </row>
    <row r="3" spans="1:8" ht="28.5" customHeight="1">
      <c r="A3" s="629" t="s">
        <v>350</v>
      </c>
      <c r="B3" s="630"/>
      <c r="C3" s="630"/>
      <c r="D3" s="630"/>
      <c r="E3" s="630"/>
      <c r="F3" s="342">
        <v>16564.52</v>
      </c>
    </row>
    <row r="4" spans="1:8" ht="15">
      <c r="A4" s="631" t="s">
        <v>313</v>
      </c>
      <c r="B4" s="632"/>
      <c r="C4" s="632"/>
      <c r="D4" s="632"/>
      <c r="E4" s="632"/>
      <c r="F4" s="343"/>
    </row>
    <row r="5" spans="1:8" s="85" customFormat="1">
      <c r="A5" s="344" t="s">
        <v>32</v>
      </c>
      <c r="B5" s="128" t="s">
        <v>119</v>
      </c>
      <c r="C5" s="127" t="s">
        <v>120</v>
      </c>
      <c r="D5" s="127" t="s">
        <v>0</v>
      </c>
      <c r="E5" s="127" t="s">
        <v>1</v>
      </c>
      <c r="F5" s="345" t="s">
        <v>2</v>
      </c>
    </row>
    <row r="6" spans="1:8" s="85" customFormat="1">
      <c r="A6" s="344" t="s">
        <v>41</v>
      </c>
      <c r="B6" s="128" t="s">
        <v>224</v>
      </c>
      <c r="C6" s="181"/>
      <c r="D6" s="136" t="s">
        <v>225</v>
      </c>
      <c r="E6" s="127"/>
      <c r="F6" s="345"/>
    </row>
    <row r="7" spans="1:8">
      <c r="A7" s="346" t="s">
        <v>42</v>
      </c>
      <c r="B7" s="394" t="s">
        <v>405</v>
      </c>
      <c r="C7" s="394" t="s">
        <v>406</v>
      </c>
      <c r="D7" s="135" t="s">
        <v>112</v>
      </c>
      <c r="E7" s="132" t="s">
        <v>5</v>
      </c>
      <c r="F7" s="347">
        <v>12.5</v>
      </c>
      <c r="H7" s="132" t="s">
        <v>111</v>
      </c>
    </row>
    <row r="8" spans="1:8" s="18" customFormat="1">
      <c r="A8" s="346" t="s">
        <v>43</v>
      </c>
      <c r="B8" s="132">
        <v>93584</v>
      </c>
      <c r="C8" s="132" t="s">
        <v>121</v>
      </c>
      <c r="D8" s="135" t="s">
        <v>117</v>
      </c>
      <c r="E8" s="132" t="s">
        <v>5</v>
      </c>
      <c r="F8" s="348">
        <v>30</v>
      </c>
      <c r="H8" s="132">
        <v>93584</v>
      </c>
    </row>
    <row r="9" spans="1:8" ht="36">
      <c r="A9" s="346" t="s">
        <v>74</v>
      </c>
      <c r="B9" s="394" t="s">
        <v>407</v>
      </c>
      <c r="C9" s="394" t="s">
        <v>406</v>
      </c>
      <c r="D9" s="144" t="s">
        <v>44</v>
      </c>
      <c r="E9" s="132" t="s">
        <v>45</v>
      </c>
      <c r="F9" s="347">
        <v>6</v>
      </c>
      <c r="H9" s="132" t="s">
        <v>309</v>
      </c>
    </row>
    <row r="10" spans="1:8" s="18" customFormat="1">
      <c r="A10" s="346" t="s">
        <v>101</v>
      </c>
      <c r="B10" s="132">
        <v>5213417</v>
      </c>
      <c r="C10" s="132" t="s">
        <v>122</v>
      </c>
      <c r="D10" s="135" t="s">
        <v>118</v>
      </c>
      <c r="E10" s="132" t="s">
        <v>5</v>
      </c>
      <c r="F10" s="348">
        <v>3.125</v>
      </c>
      <c r="H10" s="132">
        <v>5213417</v>
      </c>
    </row>
    <row r="11" spans="1:8" s="18" customFormat="1">
      <c r="A11" s="346"/>
      <c r="B11" s="132"/>
      <c r="C11" s="132"/>
      <c r="D11" s="132"/>
      <c r="E11" s="105"/>
      <c r="F11" s="347"/>
      <c r="H11" s="132"/>
    </row>
    <row r="12" spans="1:8">
      <c r="A12" s="344" t="s">
        <v>33</v>
      </c>
      <c r="B12" s="277" t="s">
        <v>26</v>
      </c>
      <c r="C12" s="170"/>
      <c r="D12" s="278" t="s">
        <v>116</v>
      </c>
      <c r="E12" s="132"/>
      <c r="F12" s="348"/>
      <c r="H12" s="277" t="s">
        <v>26</v>
      </c>
    </row>
    <row r="13" spans="1:8">
      <c r="A13" s="549" t="s">
        <v>40</v>
      </c>
      <c r="B13" s="394" t="s">
        <v>408</v>
      </c>
      <c r="C13" s="394" t="s">
        <v>406</v>
      </c>
      <c r="D13" s="395" t="s">
        <v>409</v>
      </c>
      <c r="E13" s="132" t="s">
        <v>187</v>
      </c>
      <c r="F13" s="348">
        <v>1</v>
      </c>
      <c r="H13" s="277"/>
    </row>
    <row r="14" spans="1:8">
      <c r="A14" s="349"/>
      <c r="B14" s="132"/>
      <c r="C14" s="132"/>
      <c r="D14" s="137"/>
      <c r="E14" s="138"/>
      <c r="F14" s="347"/>
      <c r="H14" s="132"/>
    </row>
    <row r="15" spans="1:8">
      <c r="A15" s="350" t="s">
        <v>34</v>
      </c>
      <c r="B15" s="132" t="s">
        <v>27</v>
      </c>
      <c r="C15" s="132"/>
      <c r="D15" s="136" t="s">
        <v>107</v>
      </c>
      <c r="E15" s="130"/>
      <c r="F15" s="347"/>
      <c r="H15" s="132" t="s">
        <v>27</v>
      </c>
    </row>
    <row r="16" spans="1:8" s="85" customFormat="1">
      <c r="A16" s="349" t="s">
        <v>39</v>
      </c>
      <c r="B16" s="394" t="s">
        <v>410</v>
      </c>
      <c r="C16" s="394" t="s">
        <v>406</v>
      </c>
      <c r="D16" s="135" t="s">
        <v>109</v>
      </c>
      <c r="E16" s="132" t="s">
        <v>5</v>
      </c>
      <c r="F16" s="347">
        <v>20110.47</v>
      </c>
      <c r="H16" s="132" t="s">
        <v>108</v>
      </c>
    </row>
    <row r="17" spans="1:8">
      <c r="A17" s="349" t="s">
        <v>35</v>
      </c>
      <c r="B17" s="394" t="s">
        <v>411</v>
      </c>
      <c r="C17" s="394" t="s">
        <v>406</v>
      </c>
      <c r="D17" s="135" t="s">
        <v>326</v>
      </c>
      <c r="E17" s="132" t="s">
        <v>4</v>
      </c>
      <c r="F17" s="347">
        <v>8896.0400000000009</v>
      </c>
      <c r="H17" s="132" t="s">
        <v>110</v>
      </c>
    </row>
    <row r="18" spans="1:8">
      <c r="A18" s="349" t="s">
        <v>46</v>
      </c>
      <c r="B18" s="394" t="s">
        <v>412</v>
      </c>
      <c r="C18" s="394" t="s">
        <v>406</v>
      </c>
      <c r="D18" s="135" t="s">
        <v>184</v>
      </c>
      <c r="E18" s="132" t="s">
        <v>4</v>
      </c>
      <c r="F18" s="347">
        <v>4022.07</v>
      </c>
      <c r="H18" s="132" t="s">
        <v>110</v>
      </c>
    </row>
    <row r="19" spans="1:8">
      <c r="A19" s="349" t="s">
        <v>47</v>
      </c>
      <c r="B19" s="394" t="s">
        <v>413</v>
      </c>
      <c r="C19" s="394" t="s">
        <v>406</v>
      </c>
      <c r="D19" s="135" t="s">
        <v>185</v>
      </c>
      <c r="E19" s="132" t="s">
        <v>4</v>
      </c>
      <c r="F19" s="347">
        <v>4022.07</v>
      </c>
      <c r="H19" s="132" t="s">
        <v>110</v>
      </c>
    </row>
    <row r="20" spans="1:8" s="18" customFormat="1" ht="24">
      <c r="A20" s="349" t="s">
        <v>301</v>
      </c>
      <c r="B20" s="394" t="s">
        <v>413</v>
      </c>
      <c r="C20" s="394" t="s">
        <v>406</v>
      </c>
      <c r="D20" s="144" t="s">
        <v>253</v>
      </c>
      <c r="E20" s="132" t="s">
        <v>187</v>
      </c>
      <c r="F20" s="347">
        <v>24.937999999999999</v>
      </c>
      <c r="H20" s="132" t="s">
        <v>186</v>
      </c>
    </row>
    <row r="21" spans="1:8" s="18" customFormat="1" ht="14.25">
      <c r="A21" s="139"/>
      <c r="B21" s="132"/>
      <c r="C21" s="132"/>
      <c r="D21" s="105"/>
      <c r="E21" s="105"/>
      <c r="F21" s="351"/>
      <c r="H21" s="132"/>
    </row>
    <row r="22" spans="1:8" s="18" customFormat="1" ht="14.25">
      <c r="A22" s="139" t="s">
        <v>36</v>
      </c>
      <c r="B22" s="132" t="s">
        <v>280</v>
      </c>
      <c r="C22" s="132"/>
      <c r="D22" s="140" t="s">
        <v>3</v>
      </c>
      <c r="E22" s="105"/>
      <c r="F22" s="351"/>
      <c r="H22" s="132" t="s">
        <v>280</v>
      </c>
    </row>
    <row r="23" spans="1:8" s="18" customFormat="1">
      <c r="A23" s="141" t="s">
        <v>37</v>
      </c>
      <c r="B23" s="394" t="s">
        <v>414</v>
      </c>
      <c r="C23" s="394" t="s">
        <v>406</v>
      </c>
      <c r="D23" s="135" t="s">
        <v>84</v>
      </c>
      <c r="E23" s="105" t="s">
        <v>5</v>
      </c>
      <c r="F23" s="347">
        <v>17609.410199999998</v>
      </c>
      <c r="H23" s="132" t="s">
        <v>85</v>
      </c>
    </row>
    <row r="24" spans="1:8" s="18" customFormat="1" ht="27">
      <c r="A24" s="141" t="s">
        <v>165</v>
      </c>
      <c r="B24" s="394" t="s">
        <v>596</v>
      </c>
      <c r="C24" s="394" t="s">
        <v>406</v>
      </c>
      <c r="D24" s="550" t="s">
        <v>594</v>
      </c>
      <c r="E24" s="132" t="s">
        <v>4</v>
      </c>
      <c r="F24" s="347">
        <v>19168.797999999999</v>
      </c>
      <c r="H24" s="132" t="s">
        <v>595</v>
      </c>
    </row>
    <row r="25" spans="1:8" s="18" customFormat="1" ht="21.75" customHeight="1">
      <c r="A25" s="141" t="s">
        <v>292</v>
      </c>
      <c r="B25" s="394" t="s">
        <v>416</v>
      </c>
      <c r="C25" s="394" t="s">
        <v>406</v>
      </c>
      <c r="D25" s="144" t="s">
        <v>162</v>
      </c>
      <c r="E25" s="132" t="s">
        <v>4</v>
      </c>
      <c r="F25" s="347">
        <f>F24</f>
        <v>19168.797999999999</v>
      </c>
      <c r="H25" s="132">
        <v>72888</v>
      </c>
    </row>
    <row r="26" spans="1:8" ht="24">
      <c r="A26" s="141" t="s">
        <v>161</v>
      </c>
      <c r="B26" s="170">
        <v>93595</v>
      </c>
      <c r="C26" s="132" t="s">
        <v>121</v>
      </c>
      <c r="D26" s="144" t="s">
        <v>599</v>
      </c>
      <c r="E26" s="132" t="s">
        <v>48</v>
      </c>
      <c r="F26" s="347">
        <v>35270.588320000003</v>
      </c>
      <c r="H26" s="170">
        <v>93595</v>
      </c>
    </row>
    <row r="27" spans="1:8" ht="24">
      <c r="A27" s="141" t="s">
        <v>166</v>
      </c>
      <c r="B27" s="394">
        <v>95878</v>
      </c>
      <c r="C27" s="132" t="s">
        <v>121</v>
      </c>
      <c r="D27" s="395" t="s">
        <v>600</v>
      </c>
      <c r="E27" s="132" t="s">
        <v>48</v>
      </c>
      <c r="F27" s="347">
        <v>670141.1780800001</v>
      </c>
      <c r="H27" s="170">
        <v>95878</v>
      </c>
    </row>
    <row r="28" spans="1:8">
      <c r="A28" s="141" t="s">
        <v>329</v>
      </c>
      <c r="B28" s="394" t="s">
        <v>418</v>
      </c>
      <c r="C28" s="394" t="s">
        <v>406</v>
      </c>
      <c r="D28" s="135" t="s">
        <v>247</v>
      </c>
      <c r="E28" s="132" t="s">
        <v>4</v>
      </c>
      <c r="F28" s="347">
        <f>F24</f>
        <v>19168.797999999999</v>
      </c>
      <c r="H28" s="132">
        <v>83344</v>
      </c>
    </row>
    <row r="29" spans="1:8">
      <c r="A29" s="352" t="s">
        <v>279</v>
      </c>
      <c r="B29" s="132"/>
      <c r="C29" s="132"/>
      <c r="D29" s="142"/>
      <c r="E29" s="105"/>
      <c r="F29" s="347"/>
      <c r="H29" s="132"/>
    </row>
    <row r="30" spans="1:8">
      <c r="A30" s="139" t="s">
        <v>281</v>
      </c>
      <c r="B30" s="132" t="s">
        <v>302</v>
      </c>
      <c r="C30" s="132"/>
      <c r="D30" s="140" t="s">
        <v>188</v>
      </c>
      <c r="E30" s="105"/>
      <c r="F30" s="347"/>
      <c r="H30" s="132" t="s">
        <v>302</v>
      </c>
    </row>
    <row r="31" spans="1:8" ht="24">
      <c r="A31" s="141" t="s">
        <v>282</v>
      </c>
      <c r="B31" s="562" t="s">
        <v>419</v>
      </c>
      <c r="C31" s="132" t="s">
        <v>373</v>
      </c>
      <c r="D31" s="395" t="s">
        <v>420</v>
      </c>
      <c r="E31" s="396" t="s">
        <v>5</v>
      </c>
      <c r="F31" s="347">
        <f>TRUNC((F34+F35+F36)*1.2/1.3,3)</f>
        <v>16154.187</v>
      </c>
      <c r="H31" s="132"/>
    </row>
    <row r="32" spans="1:8">
      <c r="A32" s="141" t="s">
        <v>283</v>
      </c>
      <c r="B32" s="531" t="s">
        <v>505</v>
      </c>
      <c r="C32" s="132" t="s">
        <v>373</v>
      </c>
      <c r="D32" s="395" t="s">
        <v>506</v>
      </c>
      <c r="E32" s="532" t="s">
        <v>4</v>
      </c>
      <c r="F32" s="347">
        <f>F31*0.15</f>
        <v>2423.1280499999998</v>
      </c>
      <c r="H32" s="132"/>
    </row>
    <row r="33" spans="1:8">
      <c r="A33" s="141" t="s">
        <v>327</v>
      </c>
      <c r="B33" s="533" t="s">
        <v>507</v>
      </c>
      <c r="C33" s="394" t="s">
        <v>406</v>
      </c>
      <c r="D33" s="135" t="s">
        <v>86</v>
      </c>
      <c r="E33" s="105" t="s">
        <v>5</v>
      </c>
      <c r="F33" s="347">
        <v>20810.7</v>
      </c>
      <c r="H33" s="132">
        <v>72961</v>
      </c>
    </row>
    <row r="34" spans="1:8" s="16" customFormat="1">
      <c r="A34" s="141" t="s">
        <v>284</v>
      </c>
      <c r="B34" s="132">
        <v>4011211</v>
      </c>
      <c r="C34" s="132" t="s">
        <v>373</v>
      </c>
      <c r="D34" s="187" t="s">
        <v>508</v>
      </c>
      <c r="E34" s="132" t="s">
        <v>4</v>
      </c>
      <c r="F34" s="347">
        <v>9176.130000000001</v>
      </c>
      <c r="H34" s="132" t="s">
        <v>87</v>
      </c>
    </row>
    <row r="35" spans="1:8">
      <c r="A35" s="141" t="s">
        <v>285</v>
      </c>
      <c r="B35" s="531" t="s">
        <v>509</v>
      </c>
      <c r="C35" s="132" t="s">
        <v>373</v>
      </c>
      <c r="D35" s="395" t="s">
        <v>510</v>
      </c>
      <c r="E35" s="532" t="s">
        <v>4</v>
      </c>
      <c r="F35" s="347">
        <v>4162.12</v>
      </c>
      <c r="H35" s="132" t="s">
        <v>87</v>
      </c>
    </row>
    <row r="36" spans="1:8" s="16" customFormat="1">
      <c r="A36" s="141" t="s">
        <v>286</v>
      </c>
      <c r="B36" s="531" t="s">
        <v>511</v>
      </c>
      <c r="C36" s="132" t="s">
        <v>373</v>
      </c>
      <c r="D36" s="395" t="s">
        <v>512</v>
      </c>
      <c r="E36" s="532" t="s">
        <v>4</v>
      </c>
      <c r="F36" s="347">
        <v>4162.12</v>
      </c>
      <c r="H36" s="132" t="s">
        <v>87</v>
      </c>
    </row>
    <row r="37" spans="1:8" s="16" customFormat="1" ht="24">
      <c r="A37" s="141" t="s">
        <v>287</v>
      </c>
      <c r="B37" s="132" t="s">
        <v>602</v>
      </c>
      <c r="C37" s="564" t="s">
        <v>406</v>
      </c>
      <c r="D37" s="565" t="s">
        <v>601</v>
      </c>
      <c r="E37" s="566" t="s">
        <v>4</v>
      </c>
      <c r="F37" s="347">
        <v>21000.444</v>
      </c>
      <c r="H37" s="132"/>
    </row>
    <row r="38" spans="1:8" s="16" customFormat="1">
      <c r="A38" s="141" t="s">
        <v>288</v>
      </c>
      <c r="B38" s="132">
        <v>4011351</v>
      </c>
      <c r="C38" s="132" t="s">
        <v>373</v>
      </c>
      <c r="D38" s="395" t="s">
        <v>513</v>
      </c>
      <c r="E38" s="132" t="s">
        <v>5</v>
      </c>
      <c r="F38" s="347">
        <v>16564.52</v>
      </c>
      <c r="H38" s="132">
        <v>96401</v>
      </c>
    </row>
    <row r="39" spans="1:8" s="16" customFormat="1">
      <c r="A39" s="141" t="s">
        <v>289</v>
      </c>
      <c r="B39" s="132">
        <v>4011353</v>
      </c>
      <c r="C39" s="132" t="s">
        <v>373</v>
      </c>
      <c r="D39" s="395" t="s">
        <v>189</v>
      </c>
      <c r="E39" s="132" t="s">
        <v>5</v>
      </c>
      <c r="F39" s="347">
        <v>16088.369999999999</v>
      </c>
      <c r="H39" s="132">
        <v>72943</v>
      </c>
    </row>
    <row r="40" spans="1:8" s="16" customFormat="1">
      <c r="A40" s="141" t="s">
        <v>290</v>
      </c>
      <c r="B40" s="132">
        <v>4011463</v>
      </c>
      <c r="C40" s="132" t="s">
        <v>373</v>
      </c>
      <c r="D40" s="395" t="s">
        <v>514</v>
      </c>
      <c r="E40" s="105" t="s">
        <v>515</v>
      </c>
      <c r="F40" s="347">
        <v>1544.4829999999999</v>
      </c>
      <c r="H40" s="132">
        <v>95993</v>
      </c>
    </row>
    <row r="41" spans="1:8" s="16" customFormat="1" ht="24">
      <c r="A41" s="141" t="s">
        <v>603</v>
      </c>
      <c r="B41" s="132">
        <v>92392</v>
      </c>
      <c r="C41" s="132" t="s">
        <v>121</v>
      </c>
      <c r="D41" s="144" t="s">
        <v>368</v>
      </c>
      <c r="E41" s="132" t="s">
        <v>5</v>
      </c>
      <c r="F41" s="347">
        <v>476.15</v>
      </c>
      <c r="H41" s="132"/>
    </row>
    <row r="42" spans="1:8" s="16" customFormat="1">
      <c r="A42" s="141"/>
      <c r="B42" s="132"/>
      <c r="C42" s="132"/>
      <c r="D42" s="144"/>
      <c r="E42" s="132"/>
      <c r="F42" s="347"/>
      <c r="H42" s="132"/>
    </row>
    <row r="43" spans="1:8" s="16" customFormat="1">
      <c r="A43" s="366" t="s">
        <v>88</v>
      </c>
      <c r="B43" s="534" t="s">
        <v>30</v>
      </c>
      <c r="C43" s="535"/>
      <c r="D43" s="536" t="s">
        <v>516</v>
      </c>
      <c r="E43" s="84"/>
      <c r="F43" s="548"/>
      <c r="H43" s="132"/>
    </row>
    <row r="44" spans="1:8" s="16" customFormat="1">
      <c r="A44" s="141" t="s">
        <v>89</v>
      </c>
      <c r="B44" s="132" t="s">
        <v>486</v>
      </c>
      <c r="C44" s="132" t="s">
        <v>517</v>
      </c>
      <c r="D44" s="395" t="s">
        <v>518</v>
      </c>
      <c r="E44" s="286" t="s">
        <v>515</v>
      </c>
      <c r="F44" s="347">
        <f>TRUNC(F38*0.0012,3)</f>
        <v>19.876999999999999</v>
      </c>
      <c r="H44" s="132"/>
    </row>
    <row r="45" spans="1:8" s="16" customFormat="1">
      <c r="A45" s="141" t="s">
        <v>90</v>
      </c>
      <c r="B45" s="132" t="s">
        <v>489</v>
      </c>
      <c r="C45" s="132" t="s">
        <v>517</v>
      </c>
      <c r="D45" s="395" t="s">
        <v>519</v>
      </c>
      <c r="E45" s="105" t="s">
        <v>515</v>
      </c>
      <c r="F45" s="347">
        <f>TRUNC(F39*0.00045,3)</f>
        <v>7.2389999999999999</v>
      </c>
      <c r="H45" s="132"/>
    </row>
    <row r="46" spans="1:8" s="16" customFormat="1">
      <c r="A46" s="141" t="s">
        <v>315</v>
      </c>
      <c r="B46" s="132" t="s">
        <v>493</v>
      </c>
      <c r="C46" s="132" t="s">
        <v>517</v>
      </c>
      <c r="D46" s="395" t="s">
        <v>520</v>
      </c>
      <c r="E46" s="105" t="s">
        <v>515</v>
      </c>
      <c r="F46" s="347">
        <f>TRUNC(F40*0.06323,3)</f>
        <v>97.656999999999996</v>
      </c>
      <c r="H46" s="132"/>
    </row>
    <row r="47" spans="1:8" s="16" customFormat="1">
      <c r="A47" s="141"/>
      <c r="B47" s="132"/>
      <c r="C47" s="132"/>
      <c r="D47" s="537"/>
      <c r="E47" s="105"/>
      <c r="F47" s="347"/>
      <c r="H47" s="132"/>
    </row>
    <row r="48" spans="1:8" s="16" customFormat="1">
      <c r="A48" s="366" t="s">
        <v>113</v>
      </c>
      <c r="B48" s="534" t="s">
        <v>91</v>
      </c>
      <c r="C48" s="535"/>
      <c r="D48" s="536" t="s">
        <v>521</v>
      </c>
      <c r="E48" s="84"/>
      <c r="F48" s="548"/>
      <c r="H48" s="132"/>
    </row>
    <row r="49" spans="1:8" s="16" customFormat="1">
      <c r="A49" s="349" t="s">
        <v>114</v>
      </c>
      <c r="B49" s="132" t="s">
        <v>522</v>
      </c>
      <c r="C49" s="132" t="s">
        <v>523</v>
      </c>
      <c r="D49" s="395" t="s">
        <v>524</v>
      </c>
      <c r="E49" s="396" t="s">
        <v>515</v>
      </c>
      <c r="F49" s="347">
        <f>F46</f>
        <v>97.656999999999996</v>
      </c>
      <c r="H49" s="132"/>
    </row>
    <row r="50" spans="1:8" s="16" customFormat="1">
      <c r="A50" s="349" t="s">
        <v>181</v>
      </c>
      <c r="B50" s="132" t="s">
        <v>525</v>
      </c>
      <c r="C50" s="132" t="s">
        <v>523</v>
      </c>
      <c r="D50" s="395" t="s">
        <v>526</v>
      </c>
      <c r="E50" s="396" t="s">
        <v>515</v>
      </c>
      <c r="F50" s="347">
        <f>F44</f>
        <v>19.876999999999999</v>
      </c>
      <c r="H50" s="132"/>
    </row>
    <row r="51" spans="1:8" s="16" customFormat="1">
      <c r="A51" s="349" t="s">
        <v>226</v>
      </c>
      <c r="B51" s="132" t="s">
        <v>527</v>
      </c>
      <c r="C51" s="132" t="s">
        <v>523</v>
      </c>
      <c r="D51" s="395" t="s">
        <v>528</v>
      </c>
      <c r="E51" s="396" t="s">
        <v>515</v>
      </c>
      <c r="F51" s="347">
        <f>F45</f>
        <v>7.2389999999999999</v>
      </c>
      <c r="H51" s="132"/>
    </row>
    <row r="52" spans="1:8" s="16" customFormat="1">
      <c r="A52" s="349" t="s">
        <v>404</v>
      </c>
      <c r="B52" s="132">
        <v>5914374</v>
      </c>
      <c r="C52" s="132" t="s">
        <v>373</v>
      </c>
      <c r="D52" s="395" t="s">
        <v>415</v>
      </c>
      <c r="E52" s="105" t="s">
        <v>48</v>
      </c>
      <c r="F52" s="347">
        <v>32200.680800000006</v>
      </c>
      <c r="H52" s="132"/>
    </row>
    <row r="53" spans="1:8" s="16" customFormat="1">
      <c r="A53" s="349" t="s">
        <v>597</v>
      </c>
      <c r="B53" s="170">
        <v>5914389</v>
      </c>
      <c r="C53" s="132" t="s">
        <v>373</v>
      </c>
      <c r="D53" s="395" t="s">
        <v>417</v>
      </c>
      <c r="E53" s="105" t="s">
        <v>48</v>
      </c>
      <c r="F53" s="347">
        <v>729696.18700000003</v>
      </c>
      <c r="H53" s="132"/>
    </row>
    <row r="54" spans="1:8" s="166" customFormat="1">
      <c r="A54" s="141"/>
      <c r="B54" s="132"/>
      <c r="C54" s="132"/>
      <c r="D54" s="105"/>
      <c r="E54" s="105"/>
      <c r="F54" s="347"/>
      <c r="H54" s="132"/>
    </row>
    <row r="55" spans="1:8" s="16" customFormat="1">
      <c r="A55" s="139" t="s">
        <v>115</v>
      </c>
      <c r="B55" s="132" t="s">
        <v>170</v>
      </c>
      <c r="C55" s="132"/>
      <c r="D55" s="169" t="s">
        <v>190</v>
      </c>
      <c r="E55" s="132"/>
      <c r="F55" s="347"/>
      <c r="H55" s="132" t="s">
        <v>30</v>
      </c>
    </row>
    <row r="56" spans="1:8">
      <c r="A56" s="141" t="s">
        <v>252</v>
      </c>
      <c r="B56" s="394" t="s">
        <v>583</v>
      </c>
      <c r="C56" s="394" t="s">
        <v>406</v>
      </c>
      <c r="D56" s="144" t="s">
        <v>191</v>
      </c>
      <c r="E56" s="132" t="s">
        <v>5</v>
      </c>
      <c r="F56" s="347">
        <v>864.40464999999995</v>
      </c>
      <c r="H56" s="132">
        <v>72947</v>
      </c>
    </row>
    <row r="57" spans="1:8" s="16" customFormat="1">
      <c r="A57" s="141" t="s">
        <v>250</v>
      </c>
      <c r="B57" s="132">
        <v>5213405</v>
      </c>
      <c r="C57" s="132" t="s">
        <v>122</v>
      </c>
      <c r="D57" s="135" t="s">
        <v>192</v>
      </c>
      <c r="E57" s="132" t="s">
        <v>5</v>
      </c>
      <c r="F57" s="347">
        <v>111.97999999999999</v>
      </c>
      <c r="H57" s="132">
        <v>5213405</v>
      </c>
    </row>
    <row r="58" spans="1:8" s="16" customFormat="1">
      <c r="A58" s="141" t="s">
        <v>254</v>
      </c>
      <c r="B58" s="132">
        <v>5213417</v>
      </c>
      <c r="C58" s="132" t="s">
        <v>122</v>
      </c>
      <c r="D58" s="135" t="s">
        <v>118</v>
      </c>
      <c r="E58" s="132" t="s">
        <v>5</v>
      </c>
      <c r="F58" s="347">
        <v>6.2260000000000018</v>
      </c>
      <c r="H58" s="132">
        <v>5213417</v>
      </c>
    </row>
    <row r="59" spans="1:8" ht="24">
      <c r="A59" s="141" t="s">
        <v>251</v>
      </c>
      <c r="B59" s="132">
        <v>5213855</v>
      </c>
      <c r="C59" s="132" t="s">
        <v>122</v>
      </c>
      <c r="D59" s="144" t="s">
        <v>193</v>
      </c>
      <c r="E59" s="105" t="s">
        <v>8</v>
      </c>
      <c r="F59" s="347">
        <v>25</v>
      </c>
      <c r="H59" s="132">
        <v>5213855</v>
      </c>
    </row>
    <row r="60" spans="1:8">
      <c r="A60" s="141"/>
      <c r="B60" s="132"/>
      <c r="C60" s="132"/>
      <c r="D60" s="105"/>
      <c r="E60" s="105"/>
      <c r="F60" s="347"/>
      <c r="H60" s="132"/>
    </row>
    <row r="61" spans="1:8">
      <c r="A61" s="139" t="s">
        <v>172</v>
      </c>
      <c r="B61" s="132" t="s">
        <v>173</v>
      </c>
      <c r="C61" s="132"/>
      <c r="D61" s="169" t="s">
        <v>194</v>
      </c>
      <c r="E61" s="132"/>
      <c r="F61" s="347"/>
      <c r="H61" s="132" t="s">
        <v>91</v>
      </c>
    </row>
    <row r="62" spans="1:8" ht="25.5">
      <c r="A62" s="349" t="s">
        <v>174</v>
      </c>
      <c r="B62" s="170">
        <v>94263</v>
      </c>
      <c r="C62" s="170" t="s">
        <v>121</v>
      </c>
      <c r="D62" s="258" t="s">
        <v>297</v>
      </c>
      <c r="E62" s="132" t="s">
        <v>7</v>
      </c>
      <c r="F62" s="347">
        <v>4900.2860000000001</v>
      </c>
      <c r="H62" s="170">
        <v>94267</v>
      </c>
    </row>
    <row r="63" spans="1:8" ht="25.5">
      <c r="A63" s="349" t="s">
        <v>175</v>
      </c>
      <c r="B63" s="170">
        <v>94264</v>
      </c>
      <c r="C63" s="170" t="s">
        <v>121</v>
      </c>
      <c r="D63" s="258" t="s">
        <v>298</v>
      </c>
      <c r="E63" s="132" t="s">
        <v>7</v>
      </c>
      <c r="F63" s="347">
        <v>367.42000000000007</v>
      </c>
      <c r="H63" s="170">
        <v>94268</v>
      </c>
    </row>
    <row r="64" spans="1:8">
      <c r="A64" s="349" t="s">
        <v>530</v>
      </c>
      <c r="B64" s="394" t="s">
        <v>581</v>
      </c>
      <c r="C64" s="394" t="s">
        <v>406</v>
      </c>
      <c r="D64" s="259" t="s">
        <v>300</v>
      </c>
      <c r="E64" s="105" t="s">
        <v>8</v>
      </c>
      <c r="F64" s="347">
        <v>40</v>
      </c>
      <c r="H64" s="170" t="s">
        <v>299</v>
      </c>
    </row>
    <row r="65" spans="1:8">
      <c r="A65" s="349" t="s">
        <v>531</v>
      </c>
      <c r="B65" s="394" t="s">
        <v>582</v>
      </c>
      <c r="C65" s="394" t="s">
        <v>406</v>
      </c>
      <c r="D65" s="259" t="s">
        <v>372</v>
      </c>
      <c r="E65" s="105" t="s">
        <v>7</v>
      </c>
      <c r="F65" s="347">
        <v>29</v>
      </c>
      <c r="H65" s="170">
        <v>1600403</v>
      </c>
    </row>
    <row r="66" spans="1:8" ht="25.5">
      <c r="A66" s="349" t="s">
        <v>532</v>
      </c>
      <c r="B66" s="132">
        <v>94991</v>
      </c>
      <c r="C66" s="132" t="s">
        <v>121</v>
      </c>
      <c r="D66" s="546" t="s">
        <v>591</v>
      </c>
      <c r="E66" s="132" t="s">
        <v>592</v>
      </c>
      <c r="F66" s="347">
        <v>459.315</v>
      </c>
      <c r="H66" s="170">
        <v>94991</v>
      </c>
    </row>
    <row r="67" spans="1:8">
      <c r="A67" s="349" t="s">
        <v>608</v>
      </c>
      <c r="B67" s="132">
        <v>101094</v>
      </c>
      <c r="C67" s="132" t="s">
        <v>121</v>
      </c>
      <c r="D67" s="546" t="s">
        <v>609</v>
      </c>
      <c r="E67" s="132" t="s">
        <v>7</v>
      </c>
      <c r="F67" s="347">
        <v>4987.616</v>
      </c>
      <c r="H67" s="170"/>
    </row>
    <row r="68" spans="1:8">
      <c r="A68" s="349"/>
      <c r="B68" s="394"/>
      <c r="C68" s="394"/>
      <c r="D68" s="135"/>
      <c r="E68" s="132"/>
      <c r="F68" s="347"/>
      <c r="H68" s="132"/>
    </row>
    <row r="69" spans="1:8">
      <c r="A69" s="350" t="s">
        <v>215</v>
      </c>
      <c r="B69" s="394" t="s">
        <v>216</v>
      </c>
      <c r="C69" s="394"/>
      <c r="D69" s="169" t="s">
        <v>6</v>
      </c>
      <c r="E69" s="169"/>
      <c r="F69" s="347"/>
      <c r="H69" s="132" t="s">
        <v>170</v>
      </c>
    </row>
    <row r="70" spans="1:8">
      <c r="A70" s="349" t="s">
        <v>217</v>
      </c>
      <c r="B70" s="394">
        <v>5213417</v>
      </c>
      <c r="C70" s="394" t="s">
        <v>124</v>
      </c>
      <c r="D70" s="135" t="s">
        <v>118</v>
      </c>
      <c r="E70" s="132" t="s">
        <v>5</v>
      </c>
      <c r="F70" s="347">
        <v>20</v>
      </c>
      <c r="H70" s="132">
        <v>5213417</v>
      </c>
    </row>
    <row r="71" spans="1:8">
      <c r="A71" s="349" t="s">
        <v>219</v>
      </c>
      <c r="B71" s="394" t="s">
        <v>574</v>
      </c>
      <c r="C71" s="394" t="s">
        <v>406</v>
      </c>
      <c r="D71" s="144" t="s">
        <v>83</v>
      </c>
      <c r="E71" s="132" t="s">
        <v>5</v>
      </c>
      <c r="F71" s="347">
        <v>10</v>
      </c>
      <c r="H71" s="132">
        <v>85424</v>
      </c>
    </row>
    <row r="72" spans="1:8">
      <c r="A72" s="349" t="s">
        <v>533</v>
      </c>
      <c r="B72" s="394" t="s">
        <v>575</v>
      </c>
      <c r="C72" s="394" t="s">
        <v>406</v>
      </c>
      <c r="D72" s="135" t="s">
        <v>126</v>
      </c>
      <c r="E72" s="132" t="s">
        <v>5</v>
      </c>
      <c r="F72" s="347">
        <v>10</v>
      </c>
      <c r="H72" s="132" t="s">
        <v>125</v>
      </c>
    </row>
    <row r="73" spans="1:8" ht="36" customHeight="1">
      <c r="A73" s="349" t="s">
        <v>534</v>
      </c>
      <c r="B73" s="394">
        <v>90091</v>
      </c>
      <c r="C73" s="394" t="s">
        <v>121</v>
      </c>
      <c r="D73" s="144" t="s">
        <v>127</v>
      </c>
      <c r="E73" s="132" t="s">
        <v>4</v>
      </c>
      <c r="F73" s="347">
        <v>1998.0190500000003</v>
      </c>
      <c r="H73" s="132">
        <v>90091</v>
      </c>
    </row>
    <row r="74" spans="1:8" ht="24">
      <c r="A74" s="349" t="s">
        <v>535</v>
      </c>
      <c r="B74" s="394" t="s">
        <v>576</v>
      </c>
      <c r="C74" s="394" t="s">
        <v>406</v>
      </c>
      <c r="D74" s="144" t="s">
        <v>222</v>
      </c>
      <c r="E74" s="132" t="s">
        <v>4</v>
      </c>
      <c r="F74" s="347">
        <v>666.00599999999997</v>
      </c>
      <c r="H74" s="132">
        <v>72917</v>
      </c>
    </row>
    <row r="75" spans="1:8" ht="24">
      <c r="A75" s="349" t="s">
        <v>536</v>
      </c>
      <c r="B75" s="394" t="s">
        <v>577</v>
      </c>
      <c r="C75" s="394" t="s">
        <v>406</v>
      </c>
      <c r="D75" s="144" t="s">
        <v>605</v>
      </c>
      <c r="E75" s="132" t="s">
        <v>4</v>
      </c>
      <c r="F75" s="347">
        <v>225.976</v>
      </c>
      <c r="H75" s="132">
        <v>94103</v>
      </c>
    </row>
    <row r="76" spans="1:8" ht="36">
      <c r="A76" s="349" t="s">
        <v>537</v>
      </c>
      <c r="B76" s="394">
        <v>93381</v>
      </c>
      <c r="C76" s="394" t="s">
        <v>121</v>
      </c>
      <c r="D76" s="144" t="s">
        <v>171</v>
      </c>
      <c r="E76" s="132" t="s">
        <v>4</v>
      </c>
      <c r="F76" s="347">
        <v>1607.557</v>
      </c>
      <c r="H76" s="132">
        <v>93381</v>
      </c>
    </row>
    <row r="77" spans="1:8" ht="24">
      <c r="A77" s="349" t="s">
        <v>538</v>
      </c>
      <c r="B77" s="394" t="s">
        <v>578</v>
      </c>
      <c r="C77" s="394" t="s">
        <v>406</v>
      </c>
      <c r="D77" s="144" t="s">
        <v>129</v>
      </c>
      <c r="E77" s="132" t="s">
        <v>4</v>
      </c>
      <c r="F77" s="347">
        <v>2900.2620752000003</v>
      </c>
      <c r="H77" s="132" t="s">
        <v>128</v>
      </c>
    </row>
    <row r="78" spans="1:8" ht="30">
      <c r="A78" s="349" t="s">
        <v>539</v>
      </c>
      <c r="B78" s="544">
        <v>93595</v>
      </c>
      <c r="C78" s="394" t="s">
        <v>121</v>
      </c>
      <c r="D78" s="568" t="s">
        <v>599</v>
      </c>
      <c r="E78" s="13" t="s">
        <v>48</v>
      </c>
      <c r="F78" s="347">
        <v>5981.790530100001</v>
      </c>
      <c r="H78" s="170">
        <v>93595</v>
      </c>
    </row>
    <row r="79" spans="1:8" ht="24">
      <c r="A79" s="349" t="s">
        <v>540</v>
      </c>
      <c r="B79" s="394">
        <v>95878</v>
      </c>
      <c r="C79" s="394" t="s">
        <v>121</v>
      </c>
      <c r="D79" s="395" t="s">
        <v>606</v>
      </c>
      <c r="E79" s="105" t="s">
        <v>48</v>
      </c>
      <c r="F79" s="347">
        <v>113654.02007190001</v>
      </c>
      <c r="H79" s="132">
        <v>95878</v>
      </c>
    </row>
    <row r="80" spans="1:8">
      <c r="A80" s="349" t="s">
        <v>541</v>
      </c>
      <c r="B80" s="394" t="s">
        <v>579</v>
      </c>
      <c r="C80" s="394" t="s">
        <v>406</v>
      </c>
      <c r="D80" s="135" t="s">
        <v>130</v>
      </c>
      <c r="E80" s="132" t="s">
        <v>4</v>
      </c>
      <c r="F80" s="347">
        <f>F77</f>
        <v>2900.2620752000003</v>
      </c>
      <c r="H80" s="132">
        <v>83344</v>
      </c>
    </row>
    <row r="81" spans="1:8" ht="24">
      <c r="A81" s="349" t="s">
        <v>542</v>
      </c>
      <c r="B81" s="394" t="s">
        <v>580</v>
      </c>
      <c r="C81" s="394" t="s">
        <v>406</v>
      </c>
      <c r="D81" s="144" t="s">
        <v>223</v>
      </c>
      <c r="E81" s="132" t="s">
        <v>5</v>
      </c>
      <c r="F81" s="571">
        <f>(F88+F89)*0.1*2</f>
        <v>153.60000000000002</v>
      </c>
      <c r="H81" s="132">
        <v>94038</v>
      </c>
    </row>
    <row r="82" spans="1:8">
      <c r="A82" s="349"/>
      <c r="B82" s="394"/>
      <c r="C82" s="394"/>
      <c r="D82" s="144"/>
      <c r="E82" s="132"/>
      <c r="F82" s="347"/>
      <c r="H82" s="132"/>
    </row>
    <row r="83" spans="1:8">
      <c r="A83" s="350" t="s">
        <v>237</v>
      </c>
      <c r="B83" s="394" t="s">
        <v>227</v>
      </c>
      <c r="C83" s="394"/>
      <c r="D83" s="143" t="s">
        <v>374</v>
      </c>
      <c r="E83" s="132"/>
      <c r="F83" s="347"/>
      <c r="H83" s="132" t="s">
        <v>173</v>
      </c>
    </row>
    <row r="84" spans="1:8">
      <c r="A84" s="349" t="s">
        <v>316</v>
      </c>
      <c r="B84" s="132">
        <v>12578</v>
      </c>
      <c r="C84" s="132" t="s">
        <v>121</v>
      </c>
      <c r="D84" s="135" t="s">
        <v>403</v>
      </c>
      <c r="E84" s="132" t="s">
        <v>7</v>
      </c>
      <c r="F84" s="347">
        <v>380</v>
      </c>
      <c r="H84" s="132">
        <v>12578</v>
      </c>
    </row>
    <row r="85" spans="1:8">
      <c r="A85" s="349" t="s">
        <v>328</v>
      </c>
      <c r="B85" s="132">
        <v>12580</v>
      </c>
      <c r="C85" s="132" t="s">
        <v>121</v>
      </c>
      <c r="D85" s="135" t="s">
        <v>375</v>
      </c>
      <c r="E85" s="132" t="s">
        <v>7</v>
      </c>
      <c r="F85" s="347">
        <v>388</v>
      </c>
      <c r="H85" s="132">
        <v>12580</v>
      </c>
    </row>
    <row r="86" spans="1:8">
      <c r="A86" s="349"/>
      <c r="B86" s="132"/>
      <c r="C86" s="132"/>
      <c r="D86" s="173"/>
      <c r="E86" s="132"/>
      <c r="F86" s="347"/>
      <c r="H86" s="132"/>
    </row>
    <row r="87" spans="1:8">
      <c r="A87" s="353" t="s">
        <v>543</v>
      </c>
      <c r="B87" s="132" t="s">
        <v>607</v>
      </c>
      <c r="C87" s="132"/>
      <c r="D87" s="143" t="s">
        <v>255</v>
      </c>
      <c r="E87" s="132"/>
      <c r="F87" s="347"/>
      <c r="H87" s="132" t="s">
        <v>216</v>
      </c>
    </row>
    <row r="88" spans="1:8" ht="24">
      <c r="A88" s="349" t="s">
        <v>544</v>
      </c>
      <c r="B88" s="132">
        <v>92824</v>
      </c>
      <c r="C88" s="132" t="s">
        <v>121</v>
      </c>
      <c r="D88" s="144" t="s">
        <v>218</v>
      </c>
      <c r="E88" s="132" t="s">
        <v>7</v>
      </c>
      <c r="F88" s="347">
        <f>F84</f>
        <v>380</v>
      </c>
      <c r="H88" s="132">
        <v>92824</v>
      </c>
    </row>
    <row r="89" spans="1:8" ht="24">
      <c r="A89" s="349" t="s">
        <v>545</v>
      </c>
      <c r="B89" s="132">
        <v>92826</v>
      </c>
      <c r="C89" s="132" t="s">
        <v>121</v>
      </c>
      <c r="D89" s="144" t="s">
        <v>221</v>
      </c>
      <c r="E89" s="132" t="s">
        <v>7</v>
      </c>
      <c r="F89" s="347">
        <f>F85</f>
        <v>388</v>
      </c>
      <c r="H89" s="132">
        <v>92826</v>
      </c>
    </row>
    <row r="90" spans="1:8">
      <c r="A90" s="349"/>
      <c r="B90" s="132"/>
      <c r="C90" s="132"/>
      <c r="D90" s="135"/>
      <c r="E90" s="132"/>
      <c r="F90" s="347"/>
      <c r="H90" s="132"/>
    </row>
    <row r="91" spans="1:8">
      <c r="A91" s="353" t="s">
        <v>546</v>
      </c>
      <c r="B91" s="132" t="s">
        <v>569</v>
      </c>
      <c r="C91" s="132"/>
      <c r="D91" s="143" t="s">
        <v>131</v>
      </c>
      <c r="E91" s="132"/>
      <c r="F91" s="347"/>
      <c r="H91" s="132" t="s">
        <v>227</v>
      </c>
    </row>
    <row r="92" spans="1:8">
      <c r="A92" s="354" t="s">
        <v>547</v>
      </c>
      <c r="B92" s="132">
        <v>2003728</v>
      </c>
      <c r="C92" s="132" t="s">
        <v>124</v>
      </c>
      <c r="D92" s="135" t="s">
        <v>367</v>
      </c>
      <c r="E92" s="172" t="s">
        <v>8</v>
      </c>
      <c r="F92" s="347">
        <v>1</v>
      </c>
      <c r="H92" s="132">
        <v>2003728</v>
      </c>
    </row>
    <row r="93" spans="1:8">
      <c r="A93" s="354" t="s">
        <v>548</v>
      </c>
      <c r="B93" s="132">
        <v>2003335</v>
      </c>
      <c r="C93" s="132" t="s">
        <v>124</v>
      </c>
      <c r="D93" s="135" t="s">
        <v>365</v>
      </c>
      <c r="E93" s="172" t="s">
        <v>8</v>
      </c>
      <c r="F93" s="347">
        <v>2</v>
      </c>
      <c r="H93" s="132">
        <v>2003335</v>
      </c>
    </row>
    <row r="94" spans="1:8">
      <c r="A94" s="354" t="s">
        <v>549</v>
      </c>
      <c r="B94" s="132">
        <v>2003393</v>
      </c>
      <c r="C94" s="132" t="s">
        <v>124</v>
      </c>
      <c r="D94" s="135" t="s">
        <v>366</v>
      </c>
      <c r="E94" s="172" t="s">
        <v>7</v>
      </c>
      <c r="F94" s="347">
        <v>5</v>
      </c>
      <c r="H94" s="132">
        <v>2003393</v>
      </c>
    </row>
    <row r="95" spans="1:8">
      <c r="A95" s="354" t="s">
        <v>550</v>
      </c>
      <c r="B95" s="132">
        <v>2003578</v>
      </c>
      <c r="C95" s="132" t="s">
        <v>124</v>
      </c>
      <c r="D95" s="135" t="s">
        <v>324</v>
      </c>
      <c r="E95" s="172" t="s">
        <v>7</v>
      </c>
      <c r="F95" s="347">
        <v>2283</v>
      </c>
      <c r="H95" s="132">
        <v>2003578</v>
      </c>
    </row>
    <row r="96" spans="1:8">
      <c r="A96" s="354" t="s">
        <v>551</v>
      </c>
      <c r="B96" s="132">
        <v>2003684</v>
      </c>
      <c r="C96" s="132" t="s">
        <v>124</v>
      </c>
      <c r="D96" s="135" t="s">
        <v>249</v>
      </c>
      <c r="E96" s="172" t="s">
        <v>8</v>
      </c>
      <c r="F96" s="347">
        <v>9</v>
      </c>
      <c r="H96" s="132">
        <v>2003684</v>
      </c>
    </row>
    <row r="97" spans="1:8">
      <c r="A97" s="354" t="s">
        <v>552</v>
      </c>
      <c r="B97" s="132">
        <v>2003720</v>
      </c>
      <c r="C97" s="132" t="s">
        <v>124</v>
      </c>
      <c r="D97" s="135" t="s">
        <v>361</v>
      </c>
      <c r="E97" s="172" t="s">
        <v>8</v>
      </c>
      <c r="F97" s="347">
        <f>F96</f>
        <v>9</v>
      </c>
      <c r="H97" s="132">
        <v>2003720</v>
      </c>
    </row>
    <row r="98" spans="1:8">
      <c r="A98" s="354" t="s">
        <v>553</v>
      </c>
      <c r="B98" s="132">
        <v>804213</v>
      </c>
      <c r="C98" s="132" t="s">
        <v>124</v>
      </c>
      <c r="D98" s="341" t="s">
        <v>371</v>
      </c>
      <c r="E98" s="172" t="s">
        <v>8</v>
      </c>
      <c r="F98" s="347">
        <v>1</v>
      </c>
      <c r="H98" s="132">
        <v>804213</v>
      </c>
    </row>
    <row r="99" spans="1:8">
      <c r="A99" s="354" t="s">
        <v>554</v>
      </c>
      <c r="B99" s="132">
        <v>2003457</v>
      </c>
      <c r="C99" s="132" t="s">
        <v>124</v>
      </c>
      <c r="D99" s="135" t="s">
        <v>332</v>
      </c>
      <c r="E99" s="172" t="s">
        <v>8</v>
      </c>
      <c r="F99" s="347">
        <v>1</v>
      </c>
      <c r="H99" s="132">
        <v>2003457</v>
      </c>
    </row>
    <row r="100" spans="1:8">
      <c r="A100" s="354" t="s">
        <v>555</v>
      </c>
      <c r="B100" s="84">
        <v>804441</v>
      </c>
      <c r="C100" s="132" t="s">
        <v>124</v>
      </c>
      <c r="D100" s="135" t="s">
        <v>362</v>
      </c>
      <c r="E100" s="172" t="s">
        <v>8</v>
      </c>
      <c r="F100" s="347">
        <v>1</v>
      </c>
      <c r="H100" s="84">
        <v>804441</v>
      </c>
    </row>
    <row r="101" spans="1:8">
      <c r="A101" s="354" t="s">
        <v>556</v>
      </c>
      <c r="B101" s="132">
        <v>804447</v>
      </c>
      <c r="C101" s="132" t="s">
        <v>124</v>
      </c>
      <c r="D101" s="135" t="s">
        <v>363</v>
      </c>
      <c r="E101" s="172" t="s">
        <v>8</v>
      </c>
      <c r="F101" s="347">
        <v>1</v>
      </c>
      <c r="H101" s="132">
        <v>804447</v>
      </c>
    </row>
    <row r="102" spans="1:8">
      <c r="A102" s="354" t="s">
        <v>557</v>
      </c>
      <c r="B102" s="132">
        <v>804297</v>
      </c>
      <c r="C102" s="132" t="s">
        <v>124</v>
      </c>
      <c r="D102" s="135" t="s">
        <v>364</v>
      </c>
      <c r="E102" s="172" t="s">
        <v>7</v>
      </c>
      <c r="F102" s="347">
        <f>'[1]ALTO DA BOA VISTA'!$I$7</f>
        <v>18</v>
      </c>
      <c r="H102" s="132">
        <v>804297</v>
      </c>
    </row>
    <row r="103" spans="1:8">
      <c r="A103" s="354" t="s">
        <v>558</v>
      </c>
      <c r="B103" s="394" t="s">
        <v>571</v>
      </c>
      <c r="C103" s="394" t="s">
        <v>406</v>
      </c>
      <c r="D103" s="135" t="s">
        <v>248</v>
      </c>
      <c r="E103" s="172" t="s">
        <v>8</v>
      </c>
      <c r="F103" s="347">
        <v>23</v>
      </c>
      <c r="H103" s="132" t="s">
        <v>213</v>
      </c>
    </row>
    <row r="104" spans="1:8">
      <c r="A104" s="354" t="s">
        <v>559</v>
      </c>
      <c r="B104" s="394" t="s">
        <v>572</v>
      </c>
      <c r="C104" s="394" t="s">
        <v>406</v>
      </c>
      <c r="D104" s="135" t="s">
        <v>214</v>
      </c>
      <c r="E104" s="172" t="s">
        <v>8</v>
      </c>
      <c r="F104" s="347">
        <v>16</v>
      </c>
      <c r="H104" s="132" t="s">
        <v>213</v>
      </c>
    </row>
    <row r="105" spans="1:8">
      <c r="A105" s="354" t="s">
        <v>560</v>
      </c>
      <c r="B105" s="394" t="s">
        <v>573</v>
      </c>
      <c r="C105" s="394" t="s">
        <v>406</v>
      </c>
      <c r="D105" s="541" t="s">
        <v>169</v>
      </c>
      <c r="E105" s="542" t="s">
        <v>4</v>
      </c>
      <c r="F105" s="543">
        <f>'[1]ALTO DA BOA VISTA'!$R$7</f>
        <v>29.762999999999998</v>
      </c>
      <c r="H105" s="132" t="s">
        <v>213</v>
      </c>
    </row>
    <row r="106" spans="1:8">
      <c r="A106" s="551"/>
      <c r="B106" s="393"/>
      <c r="C106" s="96"/>
      <c r="D106" s="96"/>
      <c r="E106" s="96"/>
      <c r="F106" s="552"/>
    </row>
    <row r="107" spans="1:8">
      <c r="A107" s="366" t="s">
        <v>561</v>
      </c>
      <c r="B107" s="535" t="s">
        <v>568</v>
      </c>
      <c r="C107" s="535"/>
      <c r="D107" s="538" t="s">
        <v>562</v>
      </c>
      <c r="E107" s="539"/>
      <c r="F107" s="553"/>
    </row>
    <row r="108" spans="1:8">
      <c r="A108" s="554" t="s">
        <v>563</v>
      </c>
      <c r="B108" s="132">
        <v>4413905</v>
      </c>
      <c r="C108" s="132" t="s">
        <v>124</v>
      </c>
      <c r="D108" s="395" t="s">
        <v>564</v>
      </c>
      <c r="E108" s="540" t="s">
        <v>5</v>
      </c>
      <c r="F108" s="555">
        <f>F31</f>
        <v>16154.187</v>
      </c>
    </row>
    <row r="109" spans="1:8" ht="13.5" thickBot="1">
      <c r="A109" s="556" t="s">
        <v>565</v>
      </c>
      <c r="B109" s="557" t="s">
        <v>566</v>
      </c>
      <c r="C109" s="557" t="s">
        <v>124</v>
      </c>
      <c r="D109" s="558" t="s">
        <v>567</v>
      </c>
      <c r="E109" s="559" t="s">
        <v>187</v>
      </c>
      <c r="F109" s="560">
        <f>TRUNC(F108*0.004,0)</f>
        <v>64</v>
      </c>
    </row>
    <row r="111" spans="1:8">
      <c r="F111" s="205">
        <f>SUM(F6:F110)</f>
        <v>1854437.2399023999</v>
      </c>
    </row>
  </sheetData>
  <customSheetViews>
    <customSheetView guid="{E8D46A29-8D28-49CA-936A-9705D639E1C7}" topLeftCell="A34">
      <selection activeCell="E51" sqref="E51"/>
      <pageMargins left="0.51181102362204722" right="0.51181102362204722" top="0.78740157480314965" bottom="0.78740157480314965" header="0.31496062992125984" footer="0.31496062992125984"/>
      <printOptions horizontalCentered="1"/>
      <pageSetup scale="80" orientation="portrait" horizontalDpi="4294967294" r:id="rId1"/>
    </customSheetView>
  </customSheetViews>
  <mergeCells count="5">
    <mergeCell ref="F1:F2"/>
    <mergeCell ref="A1:E1"/>
    <mergeCell ref="A2:E2"/>
    <mergeCell ref="A3:E3"/>
    <mergeCell ref="A4:E4"/>
  </mergeCells>
  <phoneticPr fontId="68" type="noConversion"/>
  <hyperlinks>
    <hyperlink ref="B84" r:id="rId2" display="https://www.orcafascio.com/banco/sinapi/insumos/5b05f7f614fef9480be9ed4e" xr:uid="{00000000-0004-0000-0100-000000000000}"/>
    <hyperlink ref="H84" r:id="rId3" display="https://www.orcafascio.com/banco/sinapi/insumos/5b05f7f614fef9480be9ed4e" xr:uid="{00000000-0004-0000-0100-000001000000}"/>
  </hyperlinks>
  <printOptions horizontalCentered="1"/>
  <pageMargins left="0.31496062992125984" right="0.31496062992125984" top="0.55118110236220474" bottom="0.39370078740157483" header="0.31496062992125984" footer="0.31496062992125984"/>
  <pageSetup paperSize="8" fitToWidth="2" fitToHeight="2" orientation="portrait" horizontalDpi="4294967294" r:id="rId4"/>
  <rowBreaks count="1" manualBreakCount="1">
    <brk id="5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4"/>
  <dimension ref="A1:GX125"/>
  <sheetViews>
    <sheetView zoomScaleNormal="100" zoomScaleSheetLayoutView="110" workbookViewId="0">
      <selection activeCell="D2" sqref="D2:I2"/>
    </sheetView>
  </sheetViews>
  <sheetFormatPr defaultRowHeight="15" customHeight="1"/>
  <cols>
    <col min="1" max="1" width="7.140625" style="90" customWidth="1"/>
    <col min="2" max="2" width="11.28515625" style="287" bestFit="1" customWidth="1"/>
    <col min="3" max="3" width="11.140625" style="2" bestFit="1" customWidth="1"/>
    <col min="4" max="4" width="67" style="392" customWidth="1"/>
    <col min="5" max="5" width="6.28515625" style="2" customWidth="1"/>
    <col min="6" max="6" width="11.5703125" style="103" customWidth="1"/>
    <col min="7" max="7" width="11.140625" style="269" customWidth="1"/>
    <col min="8" max="8" width="13.28515625" style="4" customWidth="1"/>
    <col min="9" max="9" width="13.42578125" style="4" bestFit="1" customWidth="1"/>
    <col min="10" max="10" width="17.5703125" style="4" customWidth="1"/>
    <col min="11" max="11" width="9.140625" style="1" customWidth="1"/>
    <col min="12" max="16384" width="9.140625" style="1"/>
  </cols>
  <sheetData>
    <row r="1" spans="1:206" s="5" customFormat="1" ht="21" customHeight="1">
      <c r="A1" s="625" t="str">
        <f>[2]QUANT!A1</f>
        <v>PREFEITURA MUNICIPAL DE VÁRZEA GRANDE</v>
      </c>
      <c r="B1" s="626"/>
      <c r="C1" s="626"/>
      <c r="D1" s="643" t="s">
        <v>167</v>
      </c>
      <c r="E1" s="643"/>
      <c r="F1" s="643"/>
      <c r="G1" s="643"/>
      <c r="H1" s="643"/>
      <c r="I1" s="643"/>
      <c r="J1" s="145" t="s">
        <v>61</v>
      </c>
      <c r="GX1" s="5" t="s">
        <v>9</v>
      </c>
    </row>
    <row r="2" spans="1:206" ht="17.25" customHeight="1">
      <c r="A2" s="639"/>
      <c r="B2" s="640"/>
      <c r="C2" s="640"/>
      <c r="D2" s="644" t="s">
        <v>612</v>
      </c>
      <c r="E2" s="644"/>
      <c r="F2" s="644"/>
      <c r="G2" s="644"/>
      <c r="H2" s="644"/>
      <c r="I2" s="644"/>
      <c r="J2" s="146" t="s">
        <v>610</v>
      </c>
    </row>
    <row r="3" spans="1:206" ht="30" customHeight="1">
      <c r="A3" s="639"/>
      <c r="B3" s="640"/>
      <c r="C3" s="640"/>
      <c r="D3" s="638" t="s">
        <v>350</v>
      </c>
      <c r="E3" s="638"/>
      <c r="F3" s="638"/>
      <c r="G3" s="638"/>
      <c r="H3" s="638"/>
      <c r="I3" s="638"/>
      <c r="J3" s="146" t="s">
        <v>611</v>
      </c>
    </row>
    <row r="4" spans="1:206" ht="21" customHeight="1">
      <c r="A4" s="639" t="s">
        <v>82</v>
      </c>
      <c r="B4" s="640"/>
      <c r="C4" s="640"/>
      <c r="D4" s="383">
        <v>0.20699999999999999</v>
      </c>
      <c r="E4" s="637" t="s">
        <v>60</v>
      </c>
      <c r="F4" s="637"/>
      <c r="G4" s="265">
        <v>32652.89</v>
      </c>
      <c r="H4" s="184" t="s">
        <v>158</v>
      </c>
      <c r="I4" s="185">
        <v>2653.8530000000001</v>
      </c>
      <c r="J4" s="633" t="s">
        <v>168</v>
      </c>
    </row>
    <row r="5" spans="1:206" ht="18.75" customHeight="1">
      <c r="A5" s="641" t="s">
        <v>123</v>
      </c>
      <c r="B5" s="642"/>
      <c r="C5" s="642"/>
      <c r="D5" s="384">
        <v>0.1527</v>
      </c>
      <c r="E5" s="7"/>
      <c r="F5" s="186"/>
      <c r="G5" s="186"/>
      <c r="H5" s="186"/>
      <c r="I5" s="186"/>
      <c r="J5" s="634"/>
    </row>
    <row r="6" spans="1:206" s="86" customFormat="1" ht="12.75">
      <c r="A6" s="147" t="str">
        <f>[2]QUANT!A5</f>
        <v>ITEM</v>
      </c>
      <c r="B6" s="129" t="str">
        <f>[2]QUANT!B5</f>
        <v>CODIGO</v>
      </c>
      <c r="C6" s="129" t="str">
        <f>[2]QUANT!C5</f>
        <v>BANCO</v>
      </c>
      <c r="D6" s="130" t="str">
        <f>[2]QUANT!D5</f>
        <v>DISCRIMINAÇÃO</v>
      </c>
      <c r="E6" s="127" t="s">
        <v>10</v>
      </c>
      <c r="F6" s="131" t="s">
        <v>11</v>
      </c>
      <c r="G6" s="266" t="s">
        <v>12</v>
      </c>
      <c r="H6" s="128" t="s">
        <v>160</v>
      </c>
      <c r="I6" s="127" t="s">
        <v>13</v>
      </c>
      <c r="J6" s="148" t="s">
        <v>14</v>
      </c>
    </row>
    <row r="7" spans="1:206" s="86" customFormat="1" ht="12.75">
      <c r="A7" s="139" t="s">
        <v>41</v>
      </c>
      <c r="B7" s="285" t="s">
        <v>224</v>
      </c>
      <c r="C7" s="127"/>
      <c r="D7" s="385" t="s">
        <v>225</v>
      </c>
      <c r="E7" s="105"/>
      <c r="F7" s="133"/>
      <c r="G7" s="267"/>
      <c r="H7" s="134"/>
      <c r="I7" s="134"/>
      <c r="J7" s="159"/>
    </row>
    <row r="8" spans="1:206" s="86" customFormat="1" ht="12.75">
      <c r="A8" s="141" t="s">
        <v>42</v>
      </c>
      <c r="B8" s="286" t="s">
        <v>405</v>
      </c>
      <c r="C8" s="105" t="s">
        <v>406</v>
      </c>
      <c r="D8" s="386" t="s">
        <v>112</v>
      </c>
      <c r="E8" s="105" t="s">
        <v>5</v>
      </c>
      <c r="F8" s="105">
        <f>QUANT!F7</f>
        <v>12.5</v>
      </c>
      <c r="G8" s="573">
        <v>318.66000000000003</v>
      </c>
      <c r="H8" s="577">
        <f>TRUNC((G8*(1+($D$4))),2)</f>
        <v>384.62</v>
      </c>
      <c r="I8" s="577">
        <f>TRUNC(F8*H8,2)</f>
        <v>4807.75</v>
      </c>
      <c r="J8" s="159"/>
      <c r="M8" s="86">
        <v>12.5</v>
      </c>
      <c r="N8" s="86">
        <f>F8-M8</f>
        <v>0</v>
      </c>
    </row>
    <row r="9" spans="1:206" ht="12.75">
      <c r="A9" s="141" t="s">
        <v>43</v>
      </c>
      <c r="B9" s="286">
        <v>93584</v>
      </c>
      <c r="C9" s="105" t="s">
        <v>121</v>
      </c>
      <c r="D9" s="386" t="s">
        <v>117</v>
      </c>
      <c r="E9" s="105" t="s">
        <v>5</v>
      </c>
      <c r="F9" s="570">
        <f>QUANT!F8</f>
        <v>30</v>
      </c>
      <c r="G9" s="573">
        <v>700.18</v>
      </c>
      <c r="H9" s="577">
        <f>TRUNC((G9*(1+($D$4))),2)</f>
        <v>845.11</v>
      </c>
      <c r="I9" s="577">
        <f>TRUNC(F9*H9,2)</f>
        <v>25353.3</v>
      </c>
      <c r="J9" s="158"/>
      <c r="M9" s="86">
        <v>30</v>
      </c>
      <c r="N9" s="86">
        <f t="shared" ref="N9:N73" si="0">F9-M9</f>
        <v>0</v>
      </c>
    </row>
    <row r="10" spans="1:206" ht="36">
      <c r="A10" s="141" t="s">
        <v>74</v>
      </c>
      <c r="B10" s="286" t="s">
        <v>407</v>
      </c>
      <c r="C10" s="105" t="s">
        <v>406</v>
      </c>
      <c r="D10" s="387" t="s">
        <v>44</v>
      </c>
      <c r="E10" s="105" t="s">
        <v>45</v>
      </c>
      <c r="F10" s="570">
        <f>QUANT!F9</f>
        <v>6</v>
      </c>
      <c r="G10" s="573">
        <v>492.18</v>
      </c>
      <c r="H10" s="577">
        <f>TRUNC((G10*(1+($D$5))),2)</f>
        <v>567.33000000000004</v>
      </c>
      <c r="I10" s="577">
        <f>TRUNC(F10*H10,2)</f>
        <v>3403.98</v>
      </c>
      <c r="J10" s="158"/>
      <c r="K10" s="86"/>
      <c r="L10" s="86"/>
      <c r="M10" s="86">
        <v>6</v>
      </c>
      <c r="N10" s="86">
        <f t="shared" si="0"/>
        <v>0</v>
      </c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  <c r="BQ10" s="86"/>
      <c r="BR10" s="86"/>
      <c r="BS10" s="86"/>
      <c r="BT10" s="86"/>
      <c r="BU10" s="86"/>
      <c r="BV10" s="86"/>
      <c r="BW10" s="86"/>
      <c r="BX10" s="86"/>
      <c r="BY10" s="86"/>
      <c r="BZ10" s="86"/>
      <c r="CA10" s="86"/>
      <c r="CB10" s="86"/>
      <c r="CC10" s="86"/>
    </row>
    <row r="11" spans="1:206" s="262" customFormat="1" ht="16.5" customHeight="1">
      <c r="A11" s="141" t="s">
        <v>101</v>
      </c>
      <c r="B11" s="286">
        <v>5213417</v>
      </c>
      <c r="C11" s="105" t="s">
        <v>122</v>
      </c>
      <c r="D11" s="387" t="s">
        <v>118</v>
      </c>
      <c r="E11" s="105" t="s">
        <v>5</v>
      </c>
      <c r="F11" s="570">
        <f>QUANT!F10</f>
        <v>3.125</v>
      </c>
      <c r="G11" s="573">
        <v>345.68</v>
      </c>
      <c r="H11" s="578">
        <f>TRUNC((G11*(1+($D$4))),2)</f>
        <v>417.23</v>
      </c>
      <c r="I11" s="578">
        <f>TRUNC(F11*H11,2)</f>
        <v>1303.8399999999999</v>
      </c>
      <c r="J11" s="273">
        <f>SUM(I8:I11)</f>
        <v>34868.869999999995</v>
      </c>
      <c r="K11" s="86"/>
      <c r="L11" s="86"/>
      <c r="M11" s="86">
        <v>3.125</v>
      </c>
      <c r="N11" s="86">
        <f t="shared" si="0"/>
        <v>0</v>
      </c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</row>
    <row r="12" spans="1:206" ht="12.75">
      <c r="A12" s="141"/>
      <c r="B12" s="286"/>
      <c r="C12" s="105"/>
      <c r="D12" s="386"/>
      <c r="E12" s="105"/>
      <c r="F12" s="570"/>
      <c r="G12" s="573"/>
      <c r="H12" s="577"/>
      <c r="I12" s="577"/>
      <c r="J12" s="157"/>
      <c r="K12" s="86"/>
      <c r="L12" s="86"/>
      <c r="M12" s="86"/>
      <c r="N12" s="86">
        <f t="shared" si="0"/>
        <v>0</v>
      </c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</row>
    <row r="13" spans="1:206" ht="12.75">
      <c r="A13" s="139" t="s">
        <v>33</v>
      </c>
      <c r="B13" s="285" t="s">
        <v>26</v>
      </c>
      <c r="C13" s="105"/>
      <c r="D13" s="385" t="s">
        <v>116</v>
      </c>
      <c r="E13" s="105"/>
      <c r="F13" s="570"/>
      <c r="G13" s="573"/>
      <c r="H13" s="578"/>
      <c r="I13" s="578"/>
      <c r="J13" s="273"/>
      <c r="M13" s="86"/>
      <c r="N13" s="86">
        <f t="shared" si="0"/>
        <v>0</v>
      </c>
    </row>
    <row r="14" spans="1:206" ht="12.75">
      <c r="A14" s="141" t="s">
        <v>40</v>
      </c>
      <c r="B14" s="286" t="s">
        <v>408</v>
      </c>
      <c r="C14" s="105" t="s">
        <v>406</v>
      </c>
      <c r="D14" s="386" t="s">
        <v>409</v>
      </c>
      <c r="E14" s="105" t="s">
        <v>187</v>
      </c>
      <c r="F14" s="570">
        <f>QUANT!F13</f>
        <v>1</v>
      </c>
      <c r="G14" s="573">
        <v>135738.97</v>
      </c>
      <c r="H14" s="578">
        <f>TRUNC((G14*(1+($D$4))),2)</f>
        <v>163836.93</v>
      </c>
      <c r="I14" s="578">
        <f>TRUNC(F14*H14,2)</f>
        <v>163836.93</v>
      </c>
      <c r="J14" s="273">
        <f>SUM(I14)</f>
        <v>163836.93</v>
      </c>
      <c r="L14" s="561">
        <f>J14/J112*100</f>
        <v>2.6007437005966612</v>
      </c>
      <c r="M14" s="86">
        <v>1</v>
      </c>
      <c r="N14" s="86">
        <f t="shared" si="0"/>
        <v>0</v>
      </c>
    </row>
    <row r="15" spans="1:206" ht="12.75">
      <c r="A15" s="141"/>
      <c r="B15" s="286"/>
      <c r="C15" s="132"/>
      <c r="D15" s="144"/>
      <c r="E15" s="105"/>
      <c r="F15" s="570"/>
      <c r="G15" s="573"/>
      <c r="H15" s="577"/>
      <c r="I15" s="577"/>
      <c r="J15" s="157"/>
      <c r="M15" s="86"/>
      <c r="N15" s="86">
        <f t="shared" si="0"/>
        <v>0</v>
      </c>
    </row>
    <row r="16" spans="1:206" ht="12.75">
      <c r="A16" s="139" t="s">
        <v>34</v>
      </c>
      <c r="B16" s="285" t="s">
        <v>27</v>
      </c>
      <c r="C16" s="127"/>
      <c r="D16" s="385" t="s">
        <v>107</v>
      </c>
      <c r="E16" s="105"/>
      <c r="F16" s="570"/>
      <c r="G16" s="573"/>
      <c r="H16" s="577"/>
      <c r="I16" s="577"/>
      <c r="J16" s="157"/>
      <c r="M16" s="86"/>
      <c r="N16" s="86">
        <f t="shared" si="0"/>
        <v>0</v>
      </c>
    </row>
    <row r="17" spans="1:14" ht="12.75">
      <c r="A17" s="141" t="s">
        <v>39</v>
      </c>
      <c r="B17" s="286" t="s">
        <v>410</v>
      </c>
      <c r="C17" s="105" t="s">
        <v>406</v>
      </c>
      <c r="D17" s="387" t="s">
        <v>109</v>
      </c>
      <c r="E17" s="105" t="s">
        <v>5</v>
      </c>
      <c r="F17" s="570">
        <f>QUANT!F16</f>
        <v>20110.47</v>
      </c>
      <c r="G17" s="573">
        <v>0.76</v>
      </c>
      <c r="H17" s="577">
        <f>TRUNC((G17*(1+($D$4))),2)</f>
        <v>0.91</v>
      </c>
      <c r="I17" s="577">
        <f>TRUNC(F17*H17,2)</f>
        <v>18300.52</v>
      </c>
      <c r="J17" s="157"/>
      <c r="M17" s="86">
        <v>20110.47</v>
      </c>
      <c r="N17" s="86">
        <f t="shared" si="0"/>
        <v>0</v>
      </c>
    </row>
    <row r="18" spans="1:14" ht="12.75">
      <c r="A18" s="141" t="s">
        <v>35</v>
      </c>
      <c r="B18" s="286" t="s">
        <v>411</v>
      </c>
      <c r="C18" s="105" t="s">
        <v>406</v>
      </c>
      <c r="D18" s="387" t="s">
        <v>326</v>
      </c>
      <c r="E18" s="105" t="s">
        <v>4</v>
      </c>
      <c r="F18" s="570">
        <f>QUANT!F17</f>
        <v>8896.0400000000009</v>
      </c>
      <c r="G18" s="573">
        <v>1.38</v>
      </c>
      <c r="H18" s="577">
        <f>TRUNC((G18*(1+($D$4))),2)</f>
        <v>1.66</v>
      </c>
      <c r="I18" s="577">
        <f>TRUNC(F18*H18,2)</f>
        <v>14767.42</v>
      </c>
      <c r="J18" s="157"/>
      <c r="M18" s="86">
        <v>8896.0400000000009</v>
      </c>
      <c r="N18" s="86">
        <f t="shared" si="0"/>
        <v>0</v>
      </c>
    </row>
    <row r="19" spans="1:14" ht="12.75">
      <c r="A19" s="141" t="s">
        <v>46</v>
      </c>
      <c r="B19" s="286" t="s">
        <v>412</v>
      </c>
      <c r="C19" s="105" t="s">
        <v>406</v>
      </c>
      <c r="D19" s="387" t="s">
        <v>184</v>
      </c>
      <c r="E19" s="105" t="s">
        <v>4</v>
      </c>
      <c r="F19" s="570">
        <f>QUANT!F18</f>
        <v>4022.07</v>
      </c>
      <c r="G19" s="573">
        <v>1.48</v>
      </c>
      <c r="H19" s="577">
        <f>TRUNC((G19*(1+($D$4))),2)</f>
        <v>1.78</v>
      </c>
      <c r="I19" s="577">
        <f>TRUNC(F19*H19,2)</f>
        <v>7159.28</v>
      </c>
      <c r="J19" s="157"/>
      <c r="M19" s="86">
        <v>4022.07</v>
      </c>
      <c r="N19" s="86">
        <f t="shared" si="0"/>
        <v>0</v>
      </c>
    </row>
    <row r="20" spans="1:14" ht="12.75">
      <c r="A20" s="141" t="s">
        <v>47</v>
      </c>
      <c r="B20" s="286" t="s">
        <v>413</v>
      </c>
      <c r="C20" s="105" t="s">
        <v>406</v>
      </c>
      <c r="D20" s="387" t="s">
        <v>185</v>
      </c>
      <c r="E20" s="105" t="s">
        <v>4</v>
      </c>
      <c r="F20" s="570">
        <f>QUANT!F19</f>
        <v>4022.07</v>
      </c>
      <c r="G20" s="573">
        <v>1.48</v>
      </c>
      <c r="H20" s="577">
        <f>TRUNC((G20*(1+($D$4))),2)</f>
        <v>1.78</v>
      </c>
      <c r="I20" s="577">
        <f>TRUNC(F20*H20,2)</f>
        <v>7159.28</v>
      </c>
      <c r="J20" s="157"/>
      <c r="M20" s="86">
        <v>4022.07</v>
      </c>
      <c r="N20" s="86">
        <f t="shared" si="0"/>
        <v>0</v>
      </c>
    </row>
    <row r="21" spans="1:14" ht="24">
      <c r="A21" s="141" t="s">
        <v>301</v>
      </c>
      <c r="B21" s="286" t="s">
        <v>413</v>
      </c>
      <c r="C21" s="105" t="s">
        <v>406</v>
      </c>
      <c r="D21" s="387" t="s">
        <v>253</v>
      </c>
      <c r="E21" s="105" t="s">
        <v>187</v>
      </c>
      <c r="F21" s="570">
        <f>QUANT!F20</f>
        <v>24.937999999999999</v>
      </c>
      <c r="G21" s="573">
        <v>126.41</v>
      </c>
      <c r="H21" s="577">
        <f>TRUNC((G21*(1+($D$4))),2)</f>
        <v>152.57</v>
      </c>
      <c r="I21" s="577">
        <f>TRUNC(F21*H21,2)</f>
        <v>3804.79</v>
      </c>
      <c r="J21" s="157">
        <f>SUM(I17:I21)</f>
        <v>51191.29</v>
      </c>
      <c r="M21" s="86">
        <v>24.937999999999999</v>
      </c>
      <c r="N21" s="86">
        <f t="shared" si="0"/>
        <v>0</v>
      </c>
    </row>
    <row r="22" spans="1:14" ht="12.75">
      <c r="A22" s="141"/>
      <c r="B22" s="132"/>
      <c r="C22" s="221"/>
      <c r="D22" s="388"/>
      <c r="E22" s="105"/>
      <c r="F22" s="570"/>
      <c r="G22" s="573"/>
      <c r="H22" s="577"/>
      <c r="I22" s="577"/>
      <c r="J22" s="156"/>
      <c r="M22" s="86"/>
      <c r="N22" s="86">
        <f t="shared" si="0"/>
        <v>0</v>
      </c>
    </row>
    <row r="23" spans="1:14" ht="12.75">
      <c r="A23" s="139" t="s">
        <v>36</v>
      </c>
      <c r="B23" s="285" t="s">
        <v>312</v>
      </c>
      <c r="C23" s="127"/>
      <c r="D23" s="385" t="s">
        <v>3</v>
      </c>
      <c r="E23" s="105"/>
      <c r="F23" s="570"/>
      <c r="G23" s="573"/>
      <c r="H23" s="577"/>
      <c r="I23" s="577"/>
      <c r="J23" s="156"/>
      <c r="M23" s="86"/>
      <c r="N23" s="86">
        <f t="shared" si="0"/>
        <v>0</v>
      </c>
    </row>
    <row r="24" spans="1:14" ht="24">
      <c r="A24" s="141" t="s">
        <v>37</v>
      </c>
      <c r="B24" s="286" t="s">
        <v>414</v>
      </c>
      <c r="C24" s="105" t="s">
        <v>406</v>
      </c>
      <c r="D24" s="387" t="s">
        <v>84</v>
      </c>
      <c r="E24" s="105" t="s">
        <v>5</v>
      </c>
      <c r="F24" s="570">
        <f>QUANT!F23</f>
        <v>17609.410199999998</v>
      </c>
      <c r="G24" s="573">
        <v>0.61</v>
      </c>
      <c r="H24" s="577">
        <f t="shared" ref="H24:H29" si="1">TRUNC((G24*(1+($D$4))),2)</f>
        <v>0.73</v>
      </c>
      <c r="I24" s="577">
        <f t="shared" ref="I24:I29" si="2">TRUNC(F24*H24,2)</f>
        <v>12854.86</v>
      </c>
      <c r="J24" s="156"/>
      <c r="M24" s="86">
        <v>17609.410199999998</v>
      </c>
      <c r="N24" s="86">
        <f t="shared" si="0"/>
        <v>0</v>
      </c>
    </row>
    <row r="25" spans="1:14" ht="33.75" customHeight="1">
      <c r="A25" s="141" t="s">
        <v>165</v>
      </c>
      <c r="B25" s="286" t="s">
        <v>596</v>
      </c>
      <c r="C25" s="105" t="s">
        <v>406</v>
      </c>
      <c r="D25" s="387" t="s">
        <v>594</v>
      </c>
      <c r="E25" s="105" t="s">
        <v>4</v>
      </c>
      <c r="F25" s="570">
        <f>QUANT!F24</f>
        <v>19168.797999999999</v>
      </c>
      <c r="G25" s="573">
        <v>1.68</v>
      </c>
      <c r="H25" s="577">
        <f t="shared" si="1"/>
        <v>2.02</v>
      </c>
      <c r="I25" s="577">
        <f>TRUNC(F25*H25,2)</f>
        <v>38720.97</v>
      </c>
      <c r="J25" s="156"/>
      <c r="M25" s="86">
        <v>19168.797999999999</v>
      </c>
      <c r="N25" s="86">
        <f t="shared" si="0"/>
        <v>0</v>
      </c>
    </row>
    <row r="26" spans="1:14" ht="24">
      <c r="A26" s="141" t="s">
        <v>292</v>
      </c>
      <c r="B26" s="286" t="s">
        <v>416</v>
      </c>
      <c r="C26" s="105" t="s">
        <v>406</v>
      </c>
      <c r="D26" s="387" t="s">
        <v>162</v>
      </c>
      <c r="E26" s="105" t="s">
        <v>4</v>
      </c>
      <c r="F26" s="570">
        <f>QUANT!F25</f>
        <v>19168.797999999999</v>
      </c>
      <c r="G26" s="573">
        <v>1.1000000000000001</v>
      </c>
      <c r="H26" s="577">
        <f t="shared" si="1"/>
        <v>1.32</v>
      </c>
      <c r="I26" s="577">
        <f>TRUNC(F26*H26,2)</f>
        <v>25302.81</v>
      </c>
      <c r="J26" s="156"/>
      <c r="M26" s="86">
        <v>19168.797999999999</v>
      </c>
      <c r="N26" s="86">
        <f t="shared" si="0"/>
        <v>0</v>
      </c>
    </row>
    <row r="27" spans="1:14" ht="24">
      <c r="A27" s="141" t="s">
        <v>161</v>
      </c>
      <c r="B27" s="286">
        <v>93595</v>
      </c>
      <c r="C27" s="105" t="s">
        <v>598</v>
      </c>
      <c r="D27" s="387" t="s">
        <v>599</v>
      </c>
      <c r="E27" s="105" t="s">
        <v>48</v>
      </c>
      <c r="F27" s="570">
        <f>QUANT!F26</f>
        <v>35270.588320000003</v>
      </c>
      <c r="G27" s="573">
        <v>1.31</v>
      </c>
      <c r="H27" s="577">
        <f t="shared" si="1"/>
        <v>1.58</v>
      </c>
      <c r="I27" s="577">
        <f t="shared" si="2"/>
        <v>55727.519999999997</v>
      </c>
      <c r="J27" s="156"/>
      <c r="M27" s="86">
        <v>35270.588320000003</v>
      </c>
      <c r="N27" s="86">
        <f t="shared" si="0"/>
        <v>0</v>
      </c>
    </row>
    <row r="28" spans="1:14" ht="24">
      <c r="A28" s="141" t="s">
        <v>166</v>
      </c>
      <c r="B28" s="286">
        <v>95878</v>
      </c>
      <c r="C28" s="105" t="s">
        <v>121</v>
      </c>
      <c r="D28" s="387" t="s">
        <v>600</v>
      </c>
      <c r="E28" s="105" t="s">
        <v>48</v>
      </c>
      <c r="F28" s="570">
        <f>QUANT!F27</f>
        <v>670141.1780800001</v>
      </c>
      <c r="G28" s="573">
        <v>1.2</v>
      </c>
      <c r="H28" s="577">
        <f t="shared" si="1"/>
        <v>1.44</v>
      </c>
      <c r="I28" s="577">
        <f t="shared" si="2"/>
        <v>965003.29</v>
      </c>
      <c r="J28" s="156"/>
      <c r="M28" s="86">
        <v>670141.1780800001</v>
      </c>
      <c r="N28" s="86">
        <f t="shared" si="0"/>
        <v>0</v>
      </c>
    </row>
    <row r="29" spans="1:14" ht="24">
      <c r="A29" s="141" t="s">
        <v>329</v>
      </c>
      <c r="B29" s="286" t="s">
        <v>418</v>
      </c>
      <c r="C29" s="105" t="s">
        <v>406</v>
      </c>
      <c r="D29" s="387" t="s">
        <v>247</v>
      </c>
      <c r="E29" s="105" t="s">
        <v>4</v>
      </c>
      <c r="F29" s="570">
        <f>QUANT!F28</f>
        <v>19168.797999999999</v>
      </c>
      <c r="G29" s="573">
        <v>0.98</v>
      </c>
      <c r="H29" s="577">
        <f t="shared" si="1"/>
        <v>1.18</v>
      </c>
      <c r="I29" s="577">
        <f t="shared" si="2"/>
        <v>22619.18</v>
      </c>
      <c r="J29" s="157">
        <f>SUM(I24:I29)</f>
        <v>1120228.6299999999</v>
      </c>
      <c r="M29" s="86">
        <v>19168.797999999999</v>
      </c>
      <c r="N29" s="86">
        <f t="shared" si="0"/>
        <v>0</v>
      </c>
    </row>
    <row r="30" spans="1:14" s="3" customFormat="1" ht="12.75">
      <c r="A30" s="141"/>
      <c r="B30" s="132"/>
      <c r="C30" s="132"/>
      <c r="D30" s="144"/>
      <c r="E30" s="105"/>
      <c r="F30" s="570"/>
      <c r="G30" s="573"/>
      <c r="H30" s="577"/>
      <c r="I30" s="577"/>
      <c r="J30" s="157"/>
      <c r="M30" s="86"/>
      <c r="N30" s="86">
        <f t="shared" si="0"/>
        <v>0</v>
      </c>
    </row>
    <row r="31" spans="1:14" s="3" customFormat="1" ht="12.75">
      <c r="A31" s="139" t="s">
        <v>281</v>
      </c>
      <c r="B31" s="285" t="s">
        <v>302</v>
      </c>
      <c r="C31" s="127"/>
      <c r="D31" s="385" t="s">
        <v>188</v>
      </c>
      <c r="E31" s="105"/>
      <c r="F31" s="570"/>
      <c r="G31" s="573"/>
      <c r="H31" s="577"/>
      <c r="I31" s="577"/>
      <c r="J31" s="157"/>
      <c r="M31" s="86"/>
      <c r="N31" s="86">
        <f t="shared" si="0"/>
        <v>0</v>
      </c>
    </row>
    <row r="32" spans="1:14" s="3" customFormat="1" ht="24">
      <c r="A32" s="141" t="s">
        <v>282</v>
      </c>
      <c r="B32" s="286" t="s">
        <v>419</v>
      </c>
      <c r="C32" s="105" t="s">
        <v>373</v>
      </c>
      <c r="D32" s="387" t="s">
        <v>420</v>
      </c>
      <c r="E32" s="105" t="s">
        <v>5</v>
      </c>
      <c r="F32" s="570">
        <f>QUANT!F31</f>
        <v>16154.187</v>
      </c>
      <c r="G32" s="573">
        <v>0.32</v>
      </c>
      <c r="H32" s="577">
        <f>TRUNC((G32*(1+($D$4))),2)</f>
        <v>0.38</v>
      </c>
      <c r="I32" s="577">
        <f t="shared" ref="I32:I42" si="3">TRUNC(F32*H32,2)</f>
        <v>6138.59</v>
      </c>
      <c r="J32" s="157"/>
      <c r="M32" s="86">
        <v>16154.187692307691</v>
      </c>
      <c r="N32" s="86">
        <f t="shared" si="0"/>
        <v>-6.9230769076966681E-4</v>
      </c>
    </row>
    <row r="33" spans="1:14" s="263" customFormat="1" ht="12.75">
      <c r="A33" s="141" t="s">
        <v>283</v>
      </c>
      <c r="B33" s="286" t="s">
        <v>505</v>
      </c>
      <c r="C33" s="105" t="s">
        <v>373</v>
      </c>
      <c r="D33" s="387" t="s">
        <v>506</v>
      </c>
      <c r="E33" s="105" t="s">
        <v>4</v>
      </c>
      <c r="F33" s="570">
        <f>QUANT!F32</f>
        <v>2423.1280499999998</v>
      </c>
      <c r="G33" s="573">
        <v>2.0099999999999998</v>
      </c>
      <c r="H33" s="578">
        <f>TRUNC((G33*(1+($D$4))),2)</f>
        <v>2.42</v>
      </c>
      <c r="I33" s="578">
        <f t="shared" si="3"/>
        <v>5863.96</v>
      </c>
      <c r="J33" s="264"/>
      <c r="M33" s="86">
        <v>2423.1281538461535</v>
      </c>
      <c r="N33" s="86">
        <f t="shared" si="0"/>
        <v>-1.0384615370639949E-4</v>
      </c>
    </row>
    <row r="34" spans="1:14" s="263" customFormat="1" ht="12.75">
      <c r="A34" s="141" t="s">
        <v>327</v>
      </c>
      <c r="B34" s="286" t="s">
        <v>507</v>
      </c>
      <c r="C34" s="105" t="s">
        <v>406</v>
      </c>
      <c r="D34" s="387" t="s">
        <v>86</v>
      </c>
      <c r="E34" s="105" t="s">
        <v>5</v>
      </c>
      <c r="F34" s="570">
        <f>QUANT!F33</f>
        <v>20810.7</v>
      </c>
      <c r="G34" s="573">
        <v>1.67</v>
      </c>
      <c r="H34" s="577">
        <f>TRUNC((G34*(1+($D$4))),2)</f>
        <v>2.0099999999999998</v>
      </c>
      <c r="I34" s="578">
        <f>TRUNC(F34*H34,2)</f>
        <v>41829.5</v>
      </c>
      <c r="J34" s="264"/>
      <c r="M34" s="86">
        <v>20810.7</v>
      </c>
      <c r="N34" s="86">
        <f t="shared" si="0"/>
        <v>0</v>
      </c>
    </row>
    <row r="35" spans="1:14" ht="12.75">
      <c r="A35" s="141" t="s">
        <v>284</v>
      </c>
      <c r="B35" s="286">
        <v>4011211</v>
      </c>
      <c r="C35" s="105" t="s">
        <v>373</v>
      </c>
      <c r="D35" s="387" t="s">
        <v>508</v>
      </c>
      <c r="E35" s="105" t="s">
        <v>4</v>
      </c>
      <c r="F35" s="570">
        <f>QUANT!F34</f>
        <v>9176.130000000001</v>
      </c>
      <c r="G35" s="573">
        <v>7.78</v>
      </c>
      <c r="H35" s="577">
        <f t="shared" ref="H35:H42" si="4">TRUNC((G35*(1+($D$4))),2)</f>
        <v>9.39</v>
      </c>
      <c r="I35" s="577">
        <f t="shared" si="3"/>
        <v>86163.86</v>
      </c>
      <c r="J35" s="157"/>
      <c r="M35" s="86">
        <v>9176.130000000001</v>
      </c>
      <c r="N35" s="86">
        <f t="shared" si="0"/>
        <v>0</v>
      </c>
    </row>
    <row r="36" spans="1:14" ht="24">
      <c r="A36" s="141" t="s">
        <v>285</v>
      </c>
      <c r="B36" s="286" t="s">
        <v>509</v>
      </c>
      <c r="C36" s="105" t="s">
        <v>373</v>
      </c>
      <c r="D36" s="387" t="s">
        <v>510</v>
      </c>
      <c r="E36" s="105" t="s">
        <v>4</v>
      </c>
      <c r="F36" s="570">
        <f>QUANT!F35</f>
        <v>4162.12</v>
      </c>
      <c r="G36" s="573">
        <v>7.78</v>
      </c>
      <c r="H36" s="577">
        <f t="shared" si="4"/>
        <v>9.39</v>
      </c>
      <c r="I36" s="577">
        <f t="shared" si="3"/>
        <v>39082.300000000003</v>
      </c>
      <c r="J36" s="157"/>
      <c r="M36" s="86">
        <v>4162.12</v>
      </c>
      <c r="N36" s="86">
        <f t="shared" si="0"/>
        <v>0</v>
      </c>
    </row>
    <row r="37" spans="1:14" ht="24">
      <c r="A37" s="141" t="s">
        <v>286</v>
      </c>
      <c r="B37" s="286" t="s">
        <v>511</v>
      </c>
      <c r="C37" s="105" t="s">
        <v>373</v>
      </c>
      <c r="D37" s="387" t="s">
        <v>512</v>
      </c>
      <c r="E37" s="105" t="s">
        <v>4</v>
      </c>
      <c r="F37" s="570">
        <f>QUANT!F36</f>
        <v>4162.12</v>
      </c>
      <c r="G37" s="573">
        <v>8.27</v>
      </c>
      <c r="H37" s="577">
        <f t="shared" si="4"/>
        <v>9.98</v>
      </c>
      <c r="I37" s="577">
        <f t="shared" si="3"/>
        <v>41537.949999999997</v>
      </c>
      <c r="J37" s="157"/>
      <c r="M37" s="86">
        <v>4162.12</v>
      </c>
      <c r="N37" s="86">
        <f t="shared" si="0"/>
        <v>0</v>
      </c>
    </row>
    <row r="38" spans="1:14" ht="24">
      <c r="A38" s="141" t="s">
        <v>287</v>
      </c>
      <c r="B38" s="286" t="s">
        <v>602</v>
      </c>
      <c r="C38" s="105" t="s">
        <v>406</v>
      </c>
      <c r="D38" s="387" t="s">
        <v>601</v>
      </c>
      <c r="E38" s="105" t="s">
        <v>4</v>
      </c>
      <c r="F38" s="570">
        <f>QUANT!F37</f>
        <v>21000.444</v>
      </c>
      <c r="G38" s="573">
        <v>1.1000000000000001</v>
      </c>
      <c r="H38" s="577">
        <f>TRUNC((G38*(1+($D$4))),2)</f>
        <v>1.32</v>
      </c>
      <c r="I38" s="577">
        <f>TRUNC(F38*H38,2)</f>
        <v>27720.58</v>
      </c>
      <c r="J38" s="157"/>
      <c r="M38" s="86">
        <v>21000.444</v>
      </c>
      <c r="N38" s="86">
        <f t="shared" si="0"/>
        <v>0</v>
      </c>
    </row>
    <row r="39" spans="1:14" ht="12.75">
      <c r="A39" s="141" t="s">
        <v>288</v>
      </c>
      <c r="B39" s="286">
        <v>4011351</v>
      </c>
      <c r="C39" s="105" t="s">
        <v>373</v>
      </c>
      <c r="D39" s="387" t="s">
        <v>513</v>
      </c>
      <c r="E39" s="105" t="s">
        <v>5</v>
      </c>
      <c r="F39" s="570">
        <f>QUANT!F38</f>
        <v>16564.52</v>
      </c>
      <c r="G39" s="573">
        <v>6.97</v>
      </c>
      <c r="H39" s="577">
        <f t="shared" si="4"/>
        <v>8.41</v>
      </c>
      <c r="I39" s="577">
        <f t="shared" si="3"/>
        <v>139307.60999999999</v>
      </c>
      <c r="J39" s="157"/>
      <c r="M39" s="86">
        <v>16564.52</v>
      </c>
      <c r="N39" s="86">
        <f t="shared" si="0"/>
        <v>0</v>
      </c>
    </row>
    <row r="40" spans="1:14" ht="12.75">
      <c r="A40" s="141" t="s">
        <v>289</v>
      </c>
      <c r="B40" s="286">
        <v>4011353</v>
      </c>
      <c r="C40" s="105" t="s">
        <v>373</v>
      </c>
      <c r="D40" s="387" t="s">
        <v>189</v>
      </c>
      <c r="E40" s="105" t="s">
        <v>5</v>
      </c>
      <c r="F40" s="570">
        <f>QUANT!F39</f>
        <v>16088.369999999999</v>
      </c>
      <c r="G40" s="573">
        <v>1.39</v>
      </c>
      <c r="H40" s="577">
        <f t="shared" si="4"/>
        <v>1.67</v>
      </c>
      <c r="I40" s="577">
        <f t="shared" si="3"/>
        <v>26867.57</v>
      </c>
      <c r="J40" s="157"/>
      <c r="M40" s="86">
        <v>16088.369999999999</v>
      </c>
      <c r="N40" s="86">
        <f t="shared" si="0"/>
        <v>0</v>
      </c>
    </row>
    <row r="41" spans="1:14" s="3" customFormat="1" ht="12.75">
      <c r="A41" s="141" t="s">
        <v>290</v>
      </c>
      <c r="B41" s="286">
        <v>4011463</v>
      </c>
      <c r="C41" s="105" t="s">
        <v>373</v>
      </c>
      <c r="D41" s="387" t="s">
        <v>514</v>
      </c>
      <c r="E41" s="105" t="s">
        <v>515</v>
      </c>
      <c r="F41" s="570">
        <f>QUANT!F40</f>
        <v>1544.4829999999999</v>
      </c>
      <c r="G41" s="573">
        <v>390.67</v>
      </c>
      <c r="H41" s="577">
        <f t="shared" si="4"/>
        <v>471.53</v>
      </c>
      <c r="I41" s="577">
        <f t="shared" si="3"/>
        <v>728270.06</v>
      </c>
      <c r="J41" s="157"/>
      <c r="M41" s="86">
        <v>1544.4829999999999</v>
      </c>
      <c r="N41" s="86">
        <f t="shared" si="0"/>
        <v>0</v>
      </c>
    </row>
    <row r="42" spans="1:14" s="3" customFormat="1" ht="24">
      <c r="A42" s="141" t="s">
        <v>603</v>
      </c>
      <c r="B42" s="286">
        <v>92392</v>
      </c>
      <c r="C42" s="105" t="s">
        <v>121</v>
      </c>
      <c r="D42" s="387" t="s">
        <v>368</v>
      </c>
      <c r="E42" s="105" t="s">
        <v>5</v>
      </c>
      <c r="F42" s="570">
        <f>QUANT!F41</f>
        <v>476.15</v>
      </c>
      <c r="G42" s="573">
        <v>130.54</v>
      </c>
      <c r="H42" s="577">
        <f t="shared" si="4"/>
        <v>157.56</v>
      </c>
      <c r="I42" s="577">
        <f t="shared" si="3"/>
        <v>75022.19</v>
      </c>
      <c r="J42" s="157">
        <f>SUM(I32:I42)</f>
        <v>1217804.17</v>
      </c>
      <c r="M42" s="86">
        <v>476.15</v>
      </c>
      <c r="N42" s="86">
        <f t="shared" si="0"/>
        <v>0</v>
      </c>
    </row>
    <row r="43" spans="1:14" s="3" customFormat="1" ht="12.75">
      <c r="A43" s="141"/>
      <c r="B43" s="286"/>
      <c r="C43" s="105"/>
      <c r="D43" s="387"/>
      <c r="E43" s="105"/>
      <c r="F43" s="570"/>
      <c r="G43" s="573"/>
      <c r="H43" s="577"/>
      <c r="I43" s="577"/>
      <c r="J43" s="157"/>
      <c r="M43" s="86"/>
      <c r="N43" s="86">
        <f t="shared" si="0"/>
        <v>0</v>
      </c>
    </row>
    <row r="44" spans="1:14" s="3" customFormat="1" ht="12.75">
      <c r="A44" s="139" t="s">
        <v>88</v>
      </c>
      <c r="B44" s="285" t="s">
        <v>30</v>
      </c>
      <c r="C44" s="127"/>
      <c r="D44" s="390" t="s">
        <v>516</v>
      </c>
      <c r="F44" s="570"/>
      <c r="G44" s="574"/>
      <c r="H44" s="579"/>
      <c r="I44" s="579"/>
      <c r="J44" s="157"/>
      <c r="M44" s="86"/>
      <c r="N44" s="86">
        <f t="shared" si="0"/>
        <v>0</v>
      </c>
    </row>
    <row r="45" spans="1:14" s="3" customFormat="1" ht="12.75">
      <c r="A45" s="141" t="s">
        <v>89</v>
      </c>
      <c r="B45" s="286" t="s">
        <v>486</v>
      </c>
      <c r="C45" s="105" t="s">
        <v>517</v>
      </c>
      <c r="D45" s="387" t="s">
        <v>518</v>
      </c>
      <c r="E45" s="105" t="s">
        <v>515</v>
      </c>
      <c r="F45" s="570">
        <f>QUANT!F44</f>
        <v>19.876999999999999</v>
      </c>
      <c r="G45" s="573">
        <v>4983.66</v>
      </c>
      <c r="H45" s="577">
        <f>TRUNC((G45*(1+($L$45))),2)</f>
        <v>5731.2</v>
      </c>
      <c r="I45" s="577">
        <f>TRUNC(F45*H45,2)</f>
        <v>113919.06</v>
      </c>
      <c r="J45" s="157"/>
      <c r="L45" s="572">
        <v>0.15</v>
      </c>
      <c r="M45" s="86">
        <v>19.876999999999999</v>
      </c>
      <c r="N45" s="86">
        <f t="shared" si="0"/>
        <v>0</v>
      </c>
    </row>
    <row r="46" spans="1:14" s="3" customFormat="1" ht="12.75">
      <c r="A46" s="141" t="s">
        <v>90</v>
      </c>
      <c r="B46" s="286" t="s">
        <v>489</v>
      </c>
      <c r="C46" s="105" t="s">
        <v>517</v>
      </c>
      <c r="D46" s="387" t="s">
        <v>519</v>
      </c>
      <c r="E46" s="105" t="s">
        <v>515</v>
      </c>
      <c r="F46" s="570">
        <f>QUANT!F45</f>
        <v>7.2389999999999999</v>
      </c>
      <c r="G46" s="573">
        <v>2380.9499999999998</v>
      </c>
      <c r="H46" s="577">
        <f>TRUNC((G46*(1+($L$45))),2)</f>
        <v>2738.09</v>
      </c>
      <c r="I46" s="577">
        <f>TRUNC(F46*H46,2)</f>
        <v>19821.03</v>
      </c>
      <c r="J46" s="157"/>
      <c r="M46" s="86">
        <v>7.2389999999999999</v>
      </c>
      <c r="N46" s="86">
        <f t="shared" si="0"/>
        <v>0</v>
      </c>
    </row>
    <row r="47" spans="1:14" s="3" customFormat="1" ht="12.75">
      <c r="A47" s="141" t="s">
        <v>315</v>
      </c>
      <c r="B47" s="286" t="s">
        <v>493</v>
      </c>
      <c r="C47" s="105" t="s">
        <v>517</v>
      </c>
      <c r="D47" s="387" t="s">
        <v>520</v>
      </c>
      <c r="E47" s="105" t="s">
        <v>515</v>
      </c>
      <c r="F47" s="570">
        <f>QUANT!F46</f>
        <v>97.656999999999996</v>
      </c>
      <c r="G47" s="573">
        <v>3373.17</v>
      </c>
      <c r="H47" s="577">
        <f>TRUNC((G47*(1+($L$45))),2)</f>
        <v>3879.14</v>
      </c>
      <c r="I47" s="577">
        <f>TRUNC(F47*H47,2)</f>
        <v>378825.17</v>
      </c>
      <c r="J47" s="157">
        <f>SUM(I45:I47)</f>
        <v>512565.26</v>
      </c>
      <c r="M47" s="86">
        <v>97.656999999999996</v>
      </c>
      <c r="N47" s="86">
        <f t="shared" si="0"/>
        <v>0</v>
      </c>
    </row>
    <row r="48" spans="1:14" s="3" customFormat="1" ht="12.75">
      <c r="A48" s="141"/>
      <c r="B48" s="286"/>
      <c r="C48" s="105"/>
      <c r="D48" s="387"/>
      <c r="E48" s="105"/>
      <c r="F48" s="570"/>
      <c r="G48" s="573"/>
      <c r="H48" s="577"/>
      <c r="I48" s="577"/>
      <c r="J48" s="157"/>
      <c r="M48" s="86"/>
      <c r="N48" s="86">
        <f t="shared" si="0"/>
        <v>0</v>
      </c>
    </row>
    <row r="49" spans="1:14" s="3" customFormat="1" ht="12.75">
      <c r="A49" s="139" t="s">
        <v>113</v>
      </c>
      <c r="B49" s="285" t="s">
        <v>91</v>
      </c>
      <c r="C49" s="127"/>
      <c r="D49" s="390" t="s">
        <v>521</v>
      </c>
      <c r="E49" s="127"/>
      <c r="F49" s="570"/>
      <c r="G49" s="574"/>
      <c r="H49" s="579"/>
      <c r="I49" s="579"/>
      <c r="J49" s="157"/>
      <c r="M49" s="86"/>
      <c r="N49" s="86">
        <f t="shared" si="0"/>
        <v>0</v>
      </c>
    </row>
    <row r="50" spans="1:14" s="3" customFormat="1" ht="12.75">
      <c r="A50" s="141" t="s">
        <v>114</v>
      </c>
      <c r="B50" s="286" t="s">
        <v>522</v>
      </c>
      <c r="C50" s="105" t="s">
        <v>523</v>
      </c>
      <c r="D50" s="387" t="s">
        <v>524</v>
      </c>
      <c r="E50" s="105" t="s">
        <v>515</v>
      </c>
      <c r="F50" s="570">
        <f>QUANT!F49</f>
        <v>97.656999999999996</v>
      </c>
      <c r="G50" s="573">
        <v>50.92</v>
      </c>
      <c r="H50" s="577">
        <f>TRUNC((G50*(1+($D$5))),2)</f>
        <v>58.69</v>
      </c>
      <c r="I50" s="577">
        <f>TRUNC(F50*H50,2)</f>
        <v>5731.48</v>
      </c>
      <c r="J50" s="157"/>
      <c r="M50" s="86">
        <v>97.656999999999996</v>
      </c>
      <c r="N50" s="86">
        <f t="shared" si="0"/>
        <v>0</v>
      </c>
    </row>
    <row r="51" spans="1:14" s="3" customFormat="1" ht="12.75">
      <c r="A51" s="141" t="s">
        <v>181</v>
      </c>
      <c r="B51" s="286" t="s">
        <v>525</v>
      </c>
      <c r="C51" s="105" t="s">
        <v>523</v>
      </c>
      <c r="D51" s="387" t="s">
        <v>526</v>
      </c>
      <c r="E51" s="105" t="s">
        <v>515</v>
      </c>
      <c r="F51" s="570">
        <f>QUANT!F50</f>
        <v>19.876999999999999</v>
      </c>
      <c r="G51" s="573">
        <v>49.09</v>
      </c>
      <c r="H51" s="577">
        <f>TRUNC((G51*(1+($D$5))),2)</f>
        <v>56.58</v>
      </c>
      <c r="I51" s="577">
        <f>TRUNC(F51*H51,2)</f>
        <v>1124.6400000000001</v>
      </c>
      <c r="J51" s="157"/>
      <c r="M51" s="86">
        <v>19.876999999999999</v>
      </c>
      <c r="N51" s="86">
        <f t="shared" si="0"/>
        <v>0</v>
      </c>
    </row>
    <row r="52" spans="1:14" s="3" customFormat="1" ht="12.75">
      <c r="A52" s="141" t="s">
        <v>226</v>
      </c>
      <c r="B52" s="286" t="s">
        <v>527</v>
      </c>
      <c r="C52" s="105" t="s">
        <v>523</v>
      </c>
      <c r="D52" s="387" t="s">
        <v>528</v>
      </c>
      <c r="E52" s="105" t="s">
        <v>515</v>
      </c>
      <c r="F52" s="570">
        <f>QUANT!F51</f>
        <v>7.2389999999999999</v>
      </c>
      <c r="G52" s="573">
        <v>49.09</v>
      </c>
      <c r="H52" s="577">
        <f>TRUNC((G52*(1+($D$5))),2)</f>
        <v>56.58</v>
      </c>
      <c r="I52" s="577">
        <f>TRUNC(F52*H52,2)</f>
        <v>409.58</v>
      </c>
      <c r="J52" s="157"/>
      <c r="M52" s="86">
        <v>7.2389999999999999</v>
      </c>
      <c r="N52" s="86">
        <f t="shared" si="0"/>
        <v>0</v>
      </c>
    </row>
    <row r="53" spans="1:14" s="3" customFormat="1" ht="24">
      <c r="A53" s="141" t="s">
        <v>404</v>
      </c>
      <c r="B53" s="286">
        <v>5914374</v>
      </c>
      <c r="C53" s="105" t="s">
        <v>373</v>
      </c>
      <c r="D53" s="387" t="s">
        <v>415</v>
      </c>
      <c r="E53" s="105" t="s">
        <v>48</v>
      </c>
      <c r="F53" s="570">
        <v>32200.681</v>
      </c>
      <c r="G53" s="573">
        <v>0.64</v>
      </c>
      <c r="H53" s="577">
        <f>TRUNC((G53*(1+($D$4))),2)</f>
        <v>0.77</v>
      </c>
      <c r="I53" s="577">
        <f>TRUNC(F53*H53,2)</f>
        <v>24794.52</v>
      </c>
      <c r="J53" s="157"/>
      <c r="M53" s="86">
        <v>15316.6016</v>
      </c>
      <c r="N53" s="86">
        <f t="shared" si="0"/>
        <v>16884.079400000002</v>
      </c>
    </row>
    <row r="54" spans="1:14" s="3" customFormat="1" ht="12.75">
      <c r="A54" s="141" t="s">
        <v>597</v>
      </c>
      <c r="B54" s="286">
        <v>5914389</v>
      </c>
      <c r="C54" s="105" t="s">
        <v>373</v>
      </c>
      <c r="D54" s="387" t="s">
        <v>417</v>
      </c>
      <c r="E54" s="105" t="s">
        <v>48</v>
      </c>
      <c r="F54" s="570">
        <f>QUANT!F53</f>
        <v>729696.18700000003</v>
      </c>
      <c r="G54" s="573">
        <v>0.52</v>
      </c>
      <c r="H54" s="577">
        <f>TRUNC((G54*(1+($D$4))),2)</f>
        <v>0.62</v>
      </c>
      <c r="I54" s="577">
        <f>TRUNC(F54*H54,2)</f>
        <v>452411.63</v>
      </c>
      <c r="J54" s="157">
        <f>SUM(I50:I54)</f>
        <v>484471.85</v>
      </c>
      <c r="M54" s="86">
        <v>729696.18700000003</v>
      </c>
      <c r="N54" s="86">
        <f t="shared" si="0"/>
        <v>0</v>
      </c>
    </row>
    <row r="55" spans="1:14" s="3" customFormat="1" ht="12.75">
      <c r="A55" s="141"/>
      <c r="B55" s="132"/>
      <c r="C55" s="132"/>
      <c r="D55" s="144"/>
      <c r="E55" s="105"/>
      <c r="F55" s="570"/>
      <c r="G55" s="573"/>
      <c r="H55" s="577"/>
      <c r="I55" s="577"/>
      <c r="J55" s="156"/>
      <c r="M55" s="86"/>
      <c r="N55" s="86">
        <f t="shared" si="0"/>
        <v>0</v>
      </c>
    </row>
    <row r="56" spans="1:14" s="3" customFormat="1" ht="11.25" customHeight="1">
      <c r="A56" s="139" t="s">
        <v>115</v>
      </c>
      <c r="B56" s="285" t="s">
        <v>170</v>
      </c>
      <c r="C56" s="127"/>
      <c r="D56" s="385" t="s">
        <v>190</v>
      </c>
      <c r="E56" s="105"/>
      <c r="F56" s="570"/>
      <c r="G56" s="573"/>
      <c r="H56" s="577"/>
      <c r="I56" s="577"/>
      <c r="J56" s="156"/>
      <c r="M56" s="86"/>
      <c r="N56" s="86">
        <f t="shared" si="0"/>
        <v>0</v>
      </c>
    </row>
    <row r="57" spans="1:14" ht="24">
      <c r="A57" s="141" t="s">
        <v>252</v>
      </c>
      <c r="B57" s="286" t="s">
        <v>583</v>
      </c>
      <c r="C57" s="105" t="s">
        <v>406</v>
      </c>
      <c r="D57" s="387" t="s">
        <v>191</v>
      </c>
      <c r="E57" s="105" t="s">
        <v>5</v>
      </c>
      <c r="F57" s="570">
        <v>864.404</v>
      </c>
      <c r="G57" s="573">
        <v>14.28</v>
      </c>
      <c r="H57" s="577">
        <f>TRUNC((G57*(1+($D$4))),2)</f>
        <v>17.23</v>
      </c>
      <c r="I57" s="577">
        <f>TRUNC(F57*H57,2)</f>
        <v>14893.68</v>
      </c>
      <c r="J57" s="156"/>
      <c r="M57" s="86">
        <v>864.40464999999995</v>
      </c>
      <c r="N57" s="86">
        <f t="shared" si="0"/>
        <v>-6.4999999995052349E-4</v>
      </c>
    </row>
    <row r="58" spans="1:14" ht="12.75">
      <c r="A58" s="141" t="s">
        <v>250</v>
      </c>
      <c r="B58" s="286">
        <v>5213405</v>
      </c>
      <c r="C58" s="105" t="s">
        <v>122</v>
      </c>
      <c r="D58" s="387" t="s">
        <v>192</v>
      </c>
      <c r="E58" s="105" t="s">
        <v>5</v>
      </c>
      <c r="F58" s="570">
        <f>QUANT!F57</f>
        <v>111.97999999999999</v>
      </c>
      <c r="G58" s="573">
        <v>39.270000000000003</v>
      </c>
      <c r="H58" s="577">
        <f>TRUNC((G58*(1+($D$4))),2)</f>
        <v>47.39</v>
      </c>
      <c r="I58" s="577">
        <f>TRUNC(F58*H58,2)</f>
        <v>5306.73</v>
      </c>
      <c r="J58" s="156"/>
      <c r="M58" s="86">
        <v>111.97999999999999</v>
      </c>
      <c r="N58" s="86">
        <f t="shared" si="0"/>
        <v>0</v>
      </c>
    </row>
    <row r="59" spans="1:14" ht="24">
      <c r="A59" s="141" t="s">
        <v>254</v>
      </c>
      <c r="B59" s="286">
        <v>5213417</v>
      </c>
      <c r="C59" s="105" t="s">
        <v>122</v>
      </c>
      <c r="D59" s="387" t="s">
        <v>118</v>
      </c>
      <c r="E59" s="105" t="s">
        <v>5</v>
      </c>
      <c r="F59" s="570">
        <f>QUANT!F58</f>
        <v>6.2260000000000018</v>
      </c>
      <c r="G59" s="573">
        <v>345.68</v>
      </c>
      <c r="H59" s="577">
        <f>TRUNC((G59*(1+($D$4))),2)</f>
        <v>417.23</v>
      </c>
      <c r="I59" s="577">
        <f>TRUNC(F59*H59,2)</f>
        <v>2597.67</v>
      </c>
      <c r="J59" s="157"/>
      <c r="M59" s="86">
        <v>6.2260000000000018</v>
      </c>
      <c r="N59" s="86">
        <f t="shared" si="0"/>
        <v>0</v>
      </c>
    </row>
    <row r="60" spans="1:14" ht="24">
      <c r="A60" s="141" t="s">
        <v>251</v>
      </c>
      <c r="B60" s="286">
        <v>5213855</v>
      </c>
      <c r="C60" s="105" t="s">
        <v>122</v>
      </c>
      <c r="D60" s="387" t="s">
        <v>193</v>
      </c>
      <c r="E60" s="105" t="s">
        <v>8</v>
      </c>
      <c r="F60" s="570">
        <f>QUANT!F59</f>
        <v>25</v>
      </c>
      <c r="G60" s="573">
        <v>251.19</v>
      </c>
      <c r="H60" s="577">
        <f>TRUNC((G60*(1+($D$4))),2)</f>
        <v>303.18</v>
      </c>
      <c r="I60" s="577">
        <f>TRUNC(F60*H60,2)</f>
        <v>7579.5</v>
      </c>
      <c r="J60" s="157">
        <f>SUM(I57:I60)</f>
        <v>30377.58</v>
      </c>
      <c r="M60" s="86">
        <v>25</v>
      </c>
      <c r="N60" s="86">
        <f t="shared" si="0"/>
        <v>0</v>
      </c>
    </row>
    <row r="61" spans="1:14" ht="12.75">
      <c r="A61" s="141"/>
      <c r="B61" s="132"/>
      <c r="C61" s="132"/>
      <c r="D61" s="144"/>
      <c r="E61" s="105"/>
      <c r="F61" s="570"/>
      <c r="G61" s="573"/>
      <c r="H61" s="577"/>
      <c r="I61" s="577"/>
      <c r="J61" s="156"/>
      <c r="M61" s="86"/>
      <c r="N61" s="86">
        <f t="shared" si="0"/>
        <v>0</v>
      </c>
    </row>
    <row r="62" spans="1:14" ht="12.75">
      <c r="A62" s="139" t="s">
        <v>172</v>
      </c>
      <c r="B62" s="285" t="s">
        <v>173</v>
      </c>
      <c r="C62" s="127"/>
      <c r="D62" s="385" t="s">
        <v>194</v>
      </c>
      <c r="E62" s="105"/>
      <c r="F62" s="570"/>
      <c r="G62" s="573"/>
      <c r="H62" s="577"/>
      <c r="I62" s="577"/>
      <c r="J62" s="156"/>
      <c r="M62" s="86"/>
      <c r="N62" s="86">
        <f t="shared" si="0"/>
        <v>0</v>
      </c>
    </row>
    <row r="63" spans="1:14" s="262" customFormat="1" ht="24">
      <c r="A63" s="141" t="s">
        <v>174</v>
      </c>
      <c r="B63" s="286">
        <v>94264</v>
      </c>
      <c r="C63" s="260" t="s">
        <v>121</v>
      </c>
      <c r="D63" s="387" t="s">
        <v>297</v>
      </c>
      <c r="E63" s="260" t="s">
        <v>7</v>
      </c>
      <c r="F63" s="570">
        <f>QUANT!F62</f>
        <v>4900.2860000000001</v>
      </c>
      <c r="G63" s="573">
        <v>29.18</v>
      </c>
      <c r="H63" s="578">
        <f t="shared" ref="H63:H68" si="5">TRUNC((G63*(1+($D$4))),2)</f>
        <v>35.22</v>
      </c>
      <c r="I63" s="578">
        <f t="shared" ref="I63:I68" si="6">TRUNC(F63*H63,2)</f>
        <v>172588.07</v>
      </c>
      <c r="J63" s="274"/>
      <c r="M63" s="86">
        <v>4900.2860000000001</v>
      </c>
      <c r="N63" s="86">
        <f t="shared" si="0"/>
        <v>0</v>
      </c>
    </row>
    <row r="64" spans="1:14" ht="24">
      <c r="A64" s="141" t="s">
        <v>175</v>
      </c>
      <c r="B64" s="286">
        <v>94264</v>
      </c>
      <c r="C64" s="105" t="s">
        <v>121</v>
      </c>
      <c r="D64" s="387" t="s">
        <v>298</v>
      </c>
      <c r="E64" s="105" t="s">
        <v>7</v>
      </c>
      <c r="F64" s="570">
        <f>QUANT!F63</f>
        <v>367.42000000000007</v>
      </c>
      <c r="G64" s="573">
        <v>32.04</v>
      </c>
      <c r="H64" s="577">
        <f t="shared" si="5"/>
        <v>38.67</v>
      </c>
      <c r="I64" s="577">
        <f t="shared" si="6"/>
        <v>14208.13</v>
      </c>
      <c r="J64" s="157"/>
      <c r="M64" s="86">
        <v>367.42000000000007</v>
      </c>
      <c r="N64" s="86">
        <f t="shared" si="0"/>
        <v>0</v>
      </c>
    </row>
    <row r="65" spans="1:14" ht="12.75">
      <c r="A65" s="141" t="s">
        <v>530</v>
      </c>
      <c r="B65" s="286" t="s">
        <v>581</v>
      </c>
      <c r="C65" s="105" t="s">
        <v>406</v>
      </c>
      <c r="D65" s="387" t="s">
        <v>300</v>
      </c>
      <c r="E65" s="105" t="s">
        <v>8</v>
      </c>
      <c r="F65" s="570">
        <f>QUANT!F64</f>
        <v>40</v>
      </c>
      <c r="G65" s="573">
        <v>81.31</v>
      </c>
      <c r="H65" s="577">
        <f t="shared" si="5"/>
        <v>98.14</v>
      </c>
      <c r="I65" s="577">
        <f t="shared" si="6"/>
        <v>3925.6</v>
      </c>
      <c r="J65" s="157"/>
      <c r="M65" s="86">
        <v>40</v>
      </c>
      <c r="N65" s="86">
        <f t="shared" si="0"/>
        <v>0</v>
      </c>
    </row>
    <row r="66" spans="1:14" ht="12.75">
      <c r="A66" s="141" t="s">
        <v>531</v>
      </c>
      <c r="B66" s="381" t="s">
        <v>582</v>
      </c>
      <c r="C66" s="382" t="s">
        <v>406</v>
      </c>
      <c r="D66" s="389" t="s">
        <v>372</v>
      </c>
      <c r="E66" s="382" t="s">
        <v>7</v>
      </c>
      <c r="F66" s="570">
        <f>QUANT!F65</f>
        <v>29</v>
      </c>
      <c r="G66" s="575">
        <v>8.11</v>
      </c>
      <c r="H66" s="580">
        <f t="shared" si="5"/>
        <v>9.7799999999999994</v>
      </c>
      <c r="I66" s="580">
        <f t="shared" si="6"/>
        <v>283.62</v>
      </c>
      <c r="J66" s="157"/>
      <c r="M66" s="86">
        <v>29</v>
      </c>
      <c r="N66" s="86">
        <f t="shared" si="0"/>
        <v>0</v>
      </c>
    </row>
    <row r="67" spans="1:14" ht="24">
      <c r="A67" s="141" t="s">
        <v>532</v>
      </c>
      <c r="B67" s="105">
        <v>94991</v>
      </c>
      <c r="C67" s="105" t="s">
        <v>121</v>
      </c>
      <c r="D67" s="387" t="s">
        <v>591</v>
      </c>
      <c r="E67" s="105" t="s">
        <v>592</v>
      </c>
      <c r="F67" s="570">
        <f>QUANT!F66</f>
        <v>459.315</v>
      </c>
      <c r="G67" s="573">
        <v>684.85</v>
      </c>
      <c r="H67" s="577">
        <f t="shared" si="5"/>
        <v>826.61</v>
      </c>
      <c r="I67" s="577">
        <f t="shared" si="6"/>
        <v>379674.37</v>
      </c>
      <c r="J67" s="157"/>
      <c r="M67" s="86">
        <v>459.315</v>
      </c>
      <c r="N67" s="86">
        <f t="shared" si="0"/>
        <v>0</v>
      </c>
    </row>
    <row r="68" spans="1:14" ht="12.75">
      <c r="A68" s="349" t="s">
        <v>608</v>
      </c>
      <c r="B68" s="132">
        <v>101094</v>
      </c>
      <c r="C68" s="132" t="s">
        <v>121</v>
      </c>
      <c r="D68" s="546" t="s">
        <v>609</v>
      </c>
      <c r="E68" s="132" t="s">
        <v>7</v>
      </c>
      <c r="F68" s="347">
        <v>4987.616</v>
      </c>
      <c r="G68" s="573">
        <v>145.59</v>
      </c>
      <c r="H68" s="577">
        <f t="shared" si="5"/>
        <v>175.72</v>
      </c>
      <c r="I68" s="577">
        <f t="shared" si="6"/>
        <v>876423.88</v>
      </c>
      <c r="J68" s="157">
        <f>SUM(I63:I68)</f>
        <v>1447103.67</v>
      </c>
      <c r="M68" s="86"/>
      <c r="N68" s="86"/>
    </row>
    <row r="69" spans="1:14" ht="12.75">
      <c r="A69" s="361"/>
      <c r="B69" s="362"/>
      <c r="C69" s="362"/>
      <c r="D69" s="363"/>
      <c r="E69" s="364"/>
      <c r="F69" s="570"/>
      <c r="G69" s="576"/>
      <c r="H69" s="581"/>
      <c r="I69" s="581"/>
      <c r="J69" s="365"/>
      <c r="M69" s="86"/>
      <c r="N69" s="86">
        <f t="shared" si="0"/>
        <v>0</v>
      </c>
    </row>
    <row r="70" spans="1:14" ht="12.75">
      <c r="A70" s="139" t="s">
        <v>215</v>
      </c>
      <c r="B70" s="285" t="s">
        <v>216</v>
      </c>
      <c r="C70" s="127"/>
      <c r="D70" s="385" t="s">
        <v>6</v>
      </c>
      <c r="E70" s="105"/>
      <c r="F70" s="570"/>
      <c r="G70" s="573"/>
      <c r="H70" s="577"/>
      <c r="I70" s="577"/>
      <c r="J70" s="157"/>
      <c r="M70" s="86"/>
      <c r="N70" s="86">
        <f t="shared" si="0"/>
        <v>0</v>
      </c>
    </row>
    <row r="71" spans="1:14" ht="24">
      <c r="A71" s="141" t="s">
        <v>217</v>
      </c>
      <c r="B71" s="286">
        <v>5213417</v>
      </c>
      <c r="C71" s="105" t="s">
        <v>124</v>
      </c>
      <c r="D71" s="387" t="s">
        <v>118</v>
      </c>
      <c r="E71" s="105" t="s">
        <v>5</v>
      </c>
      <c r="F71" s="570">
        <f>QUANT!F70</f>
        <v>20</v>
      </c>
      <c r="G71" s="573">
        <v>345.68</v>
      </c>
      <c r="H71" s="577">
        <f t="shared" ref="H71:H82" si="7">TRUNC((G71*(1+($D$4))),2)</f>
        <v>417.23</v>
      </c>
      <c r="I71" s="577">
        <f t="shared" ref="I71:I82" si="8">TRUNC(F71*H71,2)</f>
        <v>8344.6</v>
      </c>
      <c r="J71" s="157"/>
      <c r="M71" s="86">
        <v>20</v>
      </c>
      <c r="N71" s="86">
        <f t="shared" si="0"/>
        <v>0</v>
      </c>
    </row>
    <row r="72" spans="1:14" s="95" customFormat="1" ht="24">
      <c r="A72" s="141" t="s">
        <v>219</v>
      </c>
      <c r="B72" s="286" t="s">
        <v>574</v>
      </c>
      <c r="C72" s="105" t="s">
        <v>406</v>
      </c>
      <c r="D72" s="387" t="s">
        <v>83</v>
      </c>
      <c r="E72" s="105" t="s">
        <v>5</v>
      </c>
      <c r="F72" s="570">
        <f>QUANT!F71</f>
        <v>10</v>
      </c>
      <c r="G72" s="573">
        <v>21.14</v>
      </c>
      <c r="H72" s="577">
        <f t="shared" si="7"/>
        <v>25.51</v>
      </c>
      <c r="I72" s="577">
        <f t="shared" si="8"/>
        <v>255.1</v>
      </c>
      <c r="J72" s="157"/>
      <c r="M72" s="86">
        <v>10</v>
      </c>
      <c r="N72" s="86">
        <f t="shared" si="0"/>
        <v>0</v>
      </c>
    </row>
    <row r="73" spans="1:14" ht="12.75">
      <c r="A73" s="141" t="s">
        <v>533</v>
      </c>
      <c r="B73" s="286" t="s">
        <v>575</v>
      </c>
      <c r="C73" s="105" t="s">
        <v>406</v>
      </c>
      <c r="D73" s="387" t="s">
        <v>126</v>
      </c>
      <c r="E73" s="105" t="s">
        <v>5</v>
      </c>
      <c r="F73" s="570">
        <f>QUANT!F72</f>
        <v>10</v>
      </c>
      <c r="G73" s="573">
        <v>61.03</v>
      </c>
      <c r="H73" s="577">
        <f t="shared" si="7"/>
        <v>73.66</v>
      </c>
      <c r="I73" s="577">
        <f t="shared" si="8"/>
        <v>736.6</v>
      </c>
      <c r="J73" s="157"/>
      <c r="M73" s="86">
        <v>10</v>
      </c>
      <c r="N73" s="86">
        <f t="shared" si="0"/>
        <v>0</v>
      </c>
    </row>
    <row r="74" spans="1:14" ht="48">
      <c r="A74" s="141" t="s">
        <v>534</v>
      </c>
      <c r="B74" s="286">
        <v>90091</v>
      </c>
      <c r="C74" s="105" t="s">
        <v>121</v>
      </c>
      <c r="D74" s="387" t="s">
        <v>127</v>
      </c>
      <c r="E74" s="105" t="s">
        <v>4</v>
      </c>
      <c r="F74" s="569">
        <f>QUANT!F73</f>
        <v>1998.0190500000003</v>
      </c>
      <c r="G74" s="573">
        <v>4.32</v>
      </c>
      <c r="H74" s="577">
        <f t="shared" si="7"/>
        <v>5.21</v>
      </c>
      <c r="I74" s="577">
        <f t="shared" si="8"/>
        <v>10409.67</v>
      </c>
      <c r="J74" s="157"/>
      <c r="M74" s="86">
        <v>1998.0190500000003</v>
      </c>
      <c r="N74" s="86">
        <f t="shared" ref="N74:N110" si="9">F74-M74</f>
        <v>0</v>
      </c>
    </row>
    <row r="75" spans="1:14" ht="24">
      <c r="A75" s="141" t="s">
        <v>535</v>
      </c>
      <c r="B75" s="286" t="s">
        <v>576</v>
      </c>
      <c r="C75" s="105" t="s">
        <v>406</v>
      </c>
      <c r="D75" s="387" t="s">
        <v>222</v>
      </c>
      <c r="E75" s="105" t="s">
        <v>4</v>
      </c>
      <c r="F75" s="570">
        <f>QUANT!F74</f>
        <v>666.00599999999997</v>
      </c>
      <c r="G75" s="573">
        <v>12.91</v>
      </c>
      <c r="H75" s="577">
        <f t="shared" si="7"/>
        <v>15.58</v>
      </c>
      <c r="I75" s="577">
        <f t="shared" si="8"/>
        <v>10376.370000000001</v>
      </c>
      <c r="J75" s="157"/>
      <c r="M75" s="86">
        <v>666.00599999999997</v>
      </c>
      <c r="N75" s="86">
        <f t="shared" si="9"/>
        <v>0</v>
      </c>
    </row>
    <row r="76" spans="1:14" ht="24">
      <c r="A76" s="141" t="s">
        <v>536</v>
      </c>
      <c r="B76" s="286" t="s">
        <v>577</v>
      </c>
      <c r="C76" s="105" t="s">
        <v>406</v>
      </c>
      <c r="D76" s="387" t="s">
        <v>605</v>
      </c>
      <c r="E76" s="105" t="s">
        <v>4</v>
      </c>
      <c r="F76" s="570">
        <f>QUANT!F75</f>
        <v>225.976</v>
      </c>
      <c r="G76" s="573">
        <v>213.78</v>
      </c>
      <c r="H76" s="577">
        <f t="shared" si="7"/>
        <v>258.02999999999997</v>
      </c>
      <c r="I76" s="577">
        <f t="shared" si="8"/>
        <v>58308.58</v>
      </c>
      <c r="J76" s="157"/>
      <c r="M76" s="86">
        <v>225.976</v>
      </c>
      <c r="N76" s="86">
        <f t="shared" si="9"/>
        <v>0</v>
      </c>
    </row>
    <row r="77" spans="1:14" ht="48">
      <c r="A77" s="141" t="s">
        <v>537</v>
      </c>
      <c r="B77" s="286">
        <v>93381</v>
      </c>
      <c r="C77" s="105" t="s">
        <v>121</v>
      </c>
      <c r="D77" s="387" t="s">
        <v>171</v>
      </c>
      <c r="E77" s="105" t="s">
        <v>4</v>
      </c>
      <c r="F77" s="570">
        <f>QUANT!F76</f>
        <v>1607.557</v>
      </c>
      <c r="G77" s="573">
        <v>7.22</v>
      </c>
      <c r="H77" s="577">
        <f t="shared" si="7"/>
        <v>8.7100000000000009</v>
      </c>
      <c r="I77" s="577">
        <f t="shared" si="8"/>
        <v>14001.82</v>
      </c>
      <c r="J77" s="157"/>
      <c r="M77" s="86">
        <v>1607.557</v>
      </c>
      <c r="N77" s="86">
        <f t="shared" si="9"/>
        <v>0</v>
      </c>
    </row>
    <row r="78" spans="1:14" ht="24">
      <c r="A78" s="141" t="s">
        <v>538</v>
      </c>
      <c r="B78" s="286" t="s">
        <v>578</v>
      </c>
      <c r="C78" s="105" t="s">
        <v>406</v>
      </c>
      <c r="D78" s="387" t="s">
        <v>129</v>
      </c>
      <c r="E78" s="105" t="s">
        <v>4</v>
      </c>
      <c r="F78" s="570">
        <f>QUANT!F77</f>
        <v>2900.2620752000003</v>
      </c>
      <c r="G78" s="573">
        <v>1.82</v>
      </c>
      <c r="H78" s="577">
        <f t="shared" si="7"/>
        <v>2.19</v>
      </c>
      <c r="I78" s="577">
        <f t="shared" si="8"/>
        <v>6351.57</v>
      </c>
      <c r="J78" s="157"/>
      <c r="M78" s="86">
        <v>2900.2620752000003</v>
      </c>
      <c r="N78" s="86">
        <f t="shared" si="9"/>
        <v>0</v>
      </c>
    </row>
    <row r="79" spans="1:14" ht="24">
      <c r="A79" s="141" t="s">
        <v>539</v>
      </c>
      <c r="B79" s="286">
        <v>93595</v>
      </c>
      <c r="C79" s="105" t="s">
        <v>121</v>
      </c>
      <c r="D79" s="387" t="s">
        <v>599</v>
      </c>
      <c r="E79" s="105" t="s">
        <v>48</v>
      </c>
      <c r="F79" s="570">
        <f>QUANT!F78</f>
        <v>5981.790530100001</v>
      </c>
      <c r="G79" s="573">
        <v>1.31</v>
      </c>
      <c r="H79" s="577">
        <f>TRUNC((G79*(1+($D$4))),2)</f>
        <v>1.58</v>
      </c>
      <c r="I79" s="577">
        <f>TRUNC(F79*H79,2)</f>
        <v>9451.2199999999993</v>
      </c>
      <c r="J79" s="157"/>
      <c r="M79" s="86">
        <v>5981.790530100001</v>
      </c>
      <c r="N79" s="86">
        <f t="shared" si="9"/>
        <v>0</v>
      </c>
    </row>
    <row r="80" spans="1:14" ht="24">
      <c r="A80" s="141" t="s">
        <v>540</v>
      </c>
      <c r="B80" s="286">
        <v>95878</v>
      </c>
      <c r="C80" s="105" t="s">
        <v>121</v>
      </c>
      <c r="D80" s="387" t="s">
        <v>606</v>
      </c>
      <c r="E80" s="105" t="s">
        <v>48</v>
      </c>
      <c r="F80" s="570">
        <f>QUANT!F79</f>
        <v>113654.02007190001</v>
      </c>
      <c r="G80" s="573">
        <v>1.2</v>
      </c>
      <c r="H80" s="577">
        <f>TRUNC((G80*(1+($D$4))),2)</f>
        <v>1.44</v>
      </c>
      <c r="I80" s="577">
        <f>TRUNC(F80*H80,2)</f>
        <v>163661.78</v>
      </c>
      <c r="J80" s="157"/>
      <c r="M80" s="86">
        <v>163103.07749999998</v>
      </c>
      <c r="N80" s="86">
        <f t="shared" si="9"/>
        <v>-49449.057428099972</v>
      </c>
    </row>
    <row r="81" spans="1:14" ht="24">
      <c r="A81" s="141" t="s">
        <v>541</v>
      </c>
      <c r="B81" s="286" t="s">
        <v>579</v>
      </c>
      <c r="C81" s="105" t="s">
        <v>406</v>
      </c>
      <c r="D81" s="387" t="s">
        <v>130</v>
      </c>
      <c r="E81" s="105" t="s">
        <v>4</v>
      </c>
      <c r="F81" s="569">
        <f>QUANT!F80</f>
        <v>2900.2620752000003</v>
      </c>
      <c r="G81" s="573">
        <v>0.98</v>
      </c>
      <c r="H81" s="577">
        <f>TRUNC((G81*(1+($D$4))),2)</f>
        <v>1.18</v>
      </c>
      <c r="I81" s="577">
        <f t="shared" si="8"/>
        <v>3422.3</v>
      </c>
      <c r="J81" s="157"/>
      <c r="M81" s="86">
        <v>2900.2620752000003</v>
      </c>
      <c r="N81" s="86">
        <f t="shared" si="9"/>
        <v>0</v>
      </c>
    </row>
    <row r="82" spans="1:14" ht="36">
      <c r="A82" s="141" t="s">
        <v>542</v>
      </c>
      <c r="B82" s="286" t="s">
        <v>580</v>
      </c>
      <c r="C82" s="105" t="s">
        <v>406</v>
      </c>
      <c r="D82" s="387" t="s">
        <v>223</v>
      </c>
      <c r="E82" s="105" t="s">
        <v>5</v>
      </c>
      <c r="F82" s="570">
        <f>QUANT!F81</f>
        <v>153.60000000000002</v>
      </c>
      <c r="G82" s="573">
        <v>23.59</v>
      </c>
      <c r="H82" s="577">
        <f t="shared" si="7"/>
        <v>28.47</v>
      </c>
      <c r="I82" s="577">
        <f t="shared" si="8"/>
        <v>4372.99</v>
      </c>
      <c r="J82" s="157">
        <f>SUM(I71:I82)</f>
        <v>289692.60000000003</v>
      </c>
      <c r="M82" s="86">
        <v>106.80000000000001</v>
      </c>
      <c r="N82" s="86">
        <f t="shared" si="9"/>
        <v>46.800000000000011</v>
      </c>
    </row>
    <row r="83" spans="1:14" ht="12.75">
      <c r="A83" s="141"/>
      <c r="B83" s="286"/>
      <c r="C83" s="105"/>
      <c r="D83" s="387"/>
      <c r="E83" s="105"/>
      <c r="F83" s="570"/>
      <c r="G83" s="573"/>
      <c r="H83" s="577"/>
      <c r="I83" s="577"/>
      <c r="J83" s="157"/>
      <c r="M83" s="86"/>
      <c r="N83" s="86">
        <f t="shared" si="9"/>
        <v>0</v>
      </c>
    </row>
    <row r="84" spans="1:14" ht="15" customHeight="1">
      <c r="A84" s="139" t="s">
        <v>237</v>
      </c>
      <c r="B84" s="285" t="s">
        <v>227</v>
      </c>
      <c r="C84" s="127"/>
      <c r="D84" s="390" t="s">
        <v>374</v>
      </c>
      <c r="E84" s="105"/>
      <c r="F84" s="570"/>
      <c r="G84" s="573"/>
      <c r="H84" s="577"/>
      <c r="I84" s="577"/>
      <c r="J84" s="157"/>
      <c r="M84" s="86"/>
      <c r="N84" s="86">
        <f t="shared" si="9"/>
        <v>0</v>
      </c>
    </row>
    <row r="85" spans="1:14" ht="24">
      <c r="A85" s="141" t="s">
        <v>316</v>
      </c>
      <c r="B85" s="286">
        <v>12578</v>
      </c>
      <c r="C85" s="105" t="s">
        <v>121</v>
      </c>
      <c r="D85" s="387" t="s">
        <v>403</v>
      </c>
      <c r="E85" s="105" t="s">
        <v>7</v>
      </c>
      <c r="F85" s="570">
        <f>QUANT!F84</f>
        <v>380</v>
      </c>
      <c r="G85" s="573">
        <v>198.7</v>
      </c>
      <c r="H85" s="577">
        <f>TRUNC((G85*(1+($D$5))),2)</f>
        <v>229.04</v>
      </c>
      <c r="I85" s="577">
        <f>TRUNC(F85*H85,2)</f>
        <v>87035.199999999997</v>
      </c>
      <c r="J85" s="157"/>
      <c r="M85" s="86">
        <v>146</v>
      </c>
      <c r="N85" s="86">
        <f t="shared" si="9"/>
        <v>234</v>
      </c>
    </row>
    <row r="86" spans="1:14" ht="24">
      <c r="A86" s="141" t="s">
        <v>328</v>
      </c>
      <c r="B86" s="286">
        <v>12580</v>
      </c>
      <c r="C86" s="105" t="s">
        <v>121</v>
      </c>
      <c r="D86" s="387" t="s">
        <v>375</v>
      </c>
      <c r="E86" s="105" t="s">
        <v>7</v>
      </c>
      <c r="F86" s="570">
        <f>QUANT!F85</f>
        <v>388</v>
      </c>
      <c r="G86" s="573">
        <v>330.61</v>
      </c>
      <c r="H86" s="577">
        <f>TRUNC((G86*(1+($D$5))),2)</f>
        <v>381.09</v>
      </c>
      <c r="I86" s="577">
        <f>TRUNC(F86*H86,2)</f>
        <v>147862.92000000001</v>
      </c>
      <c r="J86" s="157">
        <f>SUM(I85:I86)</f>
        <v>234898.12</v>
      </c>
      <c r="M86" s="86">
        <v>388</v>
      </c>
      <c r="N86" s="86">
        <f t="shared" si="9"/>
        <v>0</v>
      </c>
    </row>
    <row r="87" spans="1:14" ht="15" customHeight="1">
      <c r="A87" s="141"/>
      <c r="B87" s="132"/>
      <c r="C87" s="132"/>
      <c r="D87" s="144"/>
      <c r="E87" s="105"/>
      <c r="F87" s="570"/>
      <c r="G87" s="573"/>
      <c r="H87" s="577"/>
      <c r="I87" s="577"/>
      <c r="J87" s="157"/>
      <c r="M87" s="86"/>
      <c r="N87" s="86">
        <f t="shared" si="9"/>
        <v>0</v>
      </c>
    </row>
    <row r="88" spans="1:14" ht="15" customHeight="1">
      <c r="A88" s="139" t="s">
        <v>543</v>
      </c>
      <c r="B88" s="285" t="s">
        <v>607</v>
      </c>
      <c r="C88" s="127"/>
      <c r="D88" s="390" t="s">
        <v>255</v>
      </c>
      <c r="E88" s="127"/>
      <c r="F88" s="570"/>
      <c r="G88" s="573"/>
      <c r="H88" s="577"/>
      <c r="I88" s="577"/>
      <c r="J88" s="157"/>
      <c r="M88" s="86"/>
      <c r="N88" s="86">
        <f t="shared" si="9"/>
        <v>0</v>
      </c>
    </row>
    <row r="89" spans="1:14" ht="24">
      <c r="A89" s="141" t="s">
        <v>544</v>
      </c>
      <c r="B89" s="286">
        <v>92824</v>
      </c>
      <c r="C89" s="105" t="s">
        <v>121</v>
      </c>
      <c r="D89" s="387" t="s">
        <v>218</v>
      </c>
      <c r="E89" s="105" t="s">
        <v>7</v>
      </c>
      <c r="F89" s="570">
        <f>QUANT!F88</f>
        <v>380</v>
      </c>
      <c r="G89" s="573">
        <v>65.64</v>
      </c>
      <c r="H89" s="577">
        <f>TRUNC((G89*(1+($D$4))),2)</f>
        <v>79.22</v>
      </c>
      <c r="I89" s="577">
        <f>TRUNC(F89*H89,2)</f>
        <v>30103.599999999999</v>
      </c>
      <c r="J89" s="157"/>
      <c r="M89" s="86">
        <v>146</v>
      </c>
      <c r="N89" s="86">
        <f t="shared" si="9"/>
        <v>234</v>
      </c>
    </row>
    <row r="90" spans="1:14" ht="24">
      <c r="A90" s="141" t="s">
        <v>545</v>
      </c>
      <c r="B90" s="286">
        <v>92826</v>
      </c>
      <c r="C90" s="105" t="s">
        <v>121</v>
      </c>
      <c r="D90" s="387" t="s">
        <v>221</v>
      </c>
      <c r="E90" s="105" t="s">
        <v>7</v>
      </c>
      <c r="F90" s="570">
        <f>QUANT!F89</f>
        <v>388</v>
      </c>
      <c r="G90" s="573">
        <v>88.11</v>
      </c>
      <c r="H90" s="577">
        <f>TRUNC((G90*(1+($D$4))),2)</f>
        <v>106.34</v>
      </c>
      <c r="I90" s="577">
        <f>TRUNC(F90*H90,2)</f>
        <v>41259.919999999998</v>
      </c>
      <c r="J90" s="157">
        <f>SUM(I89:I90)</f>
        <v>71363.51999999999</v>
      </c>
      <c r="M90" s="86">
        <v>388</v>
      </c>
      <c r="N90" s="86">
        <f t="shared" si="9"/>
        <v>0</v>
      </c>
    </row>
    <row r="91" spans="1:14" ht="15" customHeight="1">
      <c r="A91" s="141"/>
      <c r="B91" s="132"/>
      <c r="C91" s="132"/>
      <c r="D91" s="144"/>
      <c r="E91" s="105"/>
      <c r="F91" s="570"/>
      <c r="G91" s="573"/>
      <c r="H91" s="577"/>
      <c r="I91" s="577"/>
      <c r="J91" s="156"/>
      <c r="M91" s="86"/>
      <c r="N91" s="86">
        <f t="shared" si="9"/>
        <v>0</v>
      </c>
    </row>
    <row r="92" spans="1:14" ht="15" customHeight="1">
      <c r="A92" s="139" t="s">
        <v>546</v>
      </c>
      <c r="B92" s="285" t="s">
        <v>569</v>
      </c>
      <c r="C92" s="127"/>
      <c r="D92" s="390" t="s">
        <v>131</v>
      </c>
      <c r="E92" s="127"/>
      <c r="F92" s="570"/>
      <c r="G92" s="573"/>
      <c r="H92" s="577"/>
      <c r="I92" s="577"/>
      <c r="J92" s="157"/>
      <c r="M92" s="86"/>
      <c r="N92" s="86">
        <f t="shared" si="9"/>
        <v>0</v>
      </c>
    </row>
    <row r="93" spans="1:14" ht="15" customHeight="1">
      <c r="A93" s="141" t="s">
        <v>547</v>
      </c>
      <c r="B93" s="105">
        <v>2003728</v>
      </c>
      <c r="C93" s="105" t="s">
        <v>124</v>
      </c>
      <c r="D93" s="386" t="s">
        <v>367</v>
      </c>
      <c r="E93" s="105" t="s">
        <v>8</v>
      </c>
      <c r="F93" s="570">
        <f>QUANT!F92</f>
        <v>1</v>
      </c>
      <c r="G93" s="573">
        <v>2741.99</v>
      </c>
      <c r="H93" s="577">
        <f>TRUNC((G93*(1+($D$4))),2)</f>
        <v>3309.58</v>
      </c>
      <c r="I93" s="577">
        <f>TRUNC(F93*H93,2)</f>
        <v>3309.58</v>
      </c>
      <c r="J93" s="157"/>
      <c r="M93" s="86">
        <v>1</v>
      </c>
      <c r="N93" s="86">
        <f t="shared" si="9"/>
        <v>0</v>
      </c>
    </row>
    <row r="94" spans="1:14" ht="15" customHeight="1">
      <c r="A94" s="141" t="s">
        <v>548</v>
      </c>
      <c r="B94" s="105">
        <v>2003335</v>
      </c>
      <c r="C94" s="105" t="s">
        <v>124</v>
      </c>
      <c r="D94" s="386" t="s">
        <v>365</v>
      </c>
      <c r="E94" s="105" t="s">
        <v>8</v>
      </c>
      <c r="F94" s="570">
        <f>QUANT!F93</f>
        <v>2</v>
      </c>
      <c r="G94" s="573">
        <v>1458.96</v>
      </c>
      <c r="H94" s="577">
        <f t="shared" ref="H94:H105" si="10">TRUNC((G94*(1+($D$4))),2)</f>
        <v>1760.96</v>
      </c>
      <c r="I94" s="577">
        <f t="shared" ref="I94:I105" si="11">TRUNC(F94*H94,2)</f>
        <v>3521.92</v>
      </c>
      <c r="J94" s="157"/>
      <c r="M94" s="86">
        <v>2</v>
      </c>
      <c r="N94" s="86">
        <f t="shared" si="9"/>
        <v>0</v>
      </c>
    </row>
    <row r="95" spans="1:14" ht="15" customHeight="1">
      <c r="A95" s="141" t="s">
        <v>549</v>
      </c>
      <c r="B95" s="105">
        <v>2003393</v>
      </c>
      <c r="C95" s="105" t="s">
        <v>124</v>
      </c>
      <c r="D95" s="386" t="s">
        <v>366</v>
      </c>
      <c r="E95" s="105" t="s">
        <v>7</v>
      </c>
      <c r="F95" s="570">
        <f>QUANT!F94</f>
        <v>5</v>
      </c>
      <c r="G95" s="573">
        <v>186.43</v>
      </c>
      <c r="H95" s="577">
        <f t="shared" si="10"/>
        <v>225.02</v>
      </c>
      <c r="I95" s="577">
        <f t="shared" si="11"/>
        <v>1125.0999999999999</v>
      </c>
      <c r="J95" s="157"/>
      <c r="M95" s="86">
        <v>5</v>
      </c>
      <c r="N95" s="86">
        <f t="shared" si="9"/>
        <v>0</v>
      </c>
    </row>
    <row r="96" spans="1:14" ht="24">
      <c r="A96" s="141" t="s">
        <v>550</v>
      </c>
      <c r="B96" s="105">
        <v>2003578</v>
      </c>
      <c r="C96" s="105" t="s">
        <v>124</v>
      </c>
      <c r="D96" s="387" t="s">
        <v>324</v>
      </c>
      <c r="E96" s="105" t="s">
        <v>7</v>
      </c>
      <c r="F96" s="570">
        <f>QUANT!F95</f>
        <v>2283</v>
      </c>
      <c r="G96" s="573">
        <v>139.80000000000001</v>
      </c>
      <c r="H96" s="577">
        <f t="shared" si="10"/>
        <v>168.73</v>
      </c>
      <c r="I96" s="577">
        <f t="shared" si="11"/>
        <v>385210.59</v>
      </c>
      <c r="J96" s="157"/>
      <c r="M96" s="86">
        <v>2283</v>
      </c>
      <c r="N96" s="86">
        <f t="shared" si="9"/>
        <v>0</v>
      </c>
    </row>
    <row r="97" spans="1:14" ht="15" customHeight="1">
      <c r="A97" s="141" t="s">
        <v>551</v>
      </c>
      <c r="B97" s="105">
        <v>2003684</v>
      </c>
      <c r="C97" s="105" t="s">
        <v>124</v>
      </c>
      <c r="D97" s="386" t="s">
        <v>249</v>
      </c>
      <c r="E97" s="105" t="s">
        <v>8</v>
      </c>
      <c r="F97" s="570">
        <f>QUANT!F96</f>
        <v>9</v>
      </c>
      <c r="G97" s="573">
        <v>2286.3200000000002</v>
      </c>
      <c r="H97" s="577">
        <f t="shared" si="10"/>
        <v>2759.58</v>
      </c>
      <c r="I97" s="577">
        <f t="shared" si="11"/>
        <v>24836.22</v>
      </c>
      <c r="J97" s="157"/>
      <c r="M97" s="86">
        <v>9</v>
      </c>
      <c r="N97" s="86">
        <f t="shared" si="9"/>
        <v>0</v>
      </c>
    </row>
    <row r="98" spans="1:14" ht="15" customHeight="1">
      <c r="A98" s="141" t="s">
        <v>552</v>
      </c>
      <c r="B98" s="105">
        <v>2003720</v>
      </c>
      <c r="C98" s="105" t="s">
        <v>124</v>
      </c>
      <c r="D98" s="386" t="s">
        <v>361</v>
      </c>
      <c r="E98" s="105" t="s">
        <v>8</v>
      </c>
      <c r="F98" s="570">
        <f>QUANT!F97</f>
        <v>9</v>
      </c>
      <c r="G98" s="573">
        <v>1827.65</v>
      </c>
      <c r="H98" s="577">
        <f t="shared" si="10"/>
        <v>2205.9699999999998</v>
      </c>
      <c r="I98" s="577">
        <f t="shared" si="11"/>
        <v>19853.73</v>
      </c>
      <c r="J98" s="157"/>
      <c r="M98" s="86">
        <v>9</v>
      </c>
      <c r="N98" s="86">
        <f t="shared" si="9"/>
        <v>0</v>
      </c>
    </row>
    <row r="99" spans="1:14" ht="12.75">
      <c r="A99" s="141" t="s">
        <v>553</v>
      </c>
      <c r="B99" s="105">
        <v>804213</v>
      </c>
      <c r="C99" s="105" t="s">
        <v>124</v>
      </c>
      <c r="D99" s="386" t="s">
        <v>371</v>
      </c>
      <c r="E99" s="105" t="s">
        <v>8</v>
      </c>
      <c r="F99" s="570">
        <f>QUANT!F98</f>
        <v>1</v>
      </c>
      <c r="G99" s="573">
        <v>1183.5</v>
      </c>
      <c r="H99" s="577">
        <f t="shared" si="10"/>
        <v>1428.48</v>
      </c>
      <c r="I99" s="577">
        <f t="shared" si="11"/>
        <v>1428.48</v>
      </c>
      <c r="J99" s="157"/>
      <c r="M99" s="86">
        <v>1</v>
      </c>
      <c r="N99" s="86">
        <f t="shared" si="9"/>
        <v>0</v>
      </c>
    </row>
    <row r="100" spans="1:14" ht="12.75">
      <c r="A100" s="141" t="s">
        <v>554</v>
      </c>
      <c r="B100" s="105">
        <v>2003457</v>
      </c>
      <c r="C100" s="105" t="s">
        <v>124</v>
      </c>
      <c r="D100" s="386" t="s">
        <v>332</v>
      </c>
      <c r="E100" s="105" t="s">
        <v>8</v>
      </c>
      <c r="F100" s="570">
        <f>QUANT!F99</f>
        <v>1</v>
      </c>
      <c r="G100" s="573">
        <v>2171.66</v>
      </c>
      <c r="H100" s="577">
        <f t="shared" si="10"/>
        <v>2621.19</v>
      </c>
      <c r="I100" s="577">
        <f t="shared" si="11"/>
        <v>2621.19</v>
      </c>
      <c r="J100" s="157"/>
      <c r="M100" s="86">
        <v>1</v>
      </c>
      <c r="N100" s="86">
        <f t="shared" si="9"/>
        <v>0</v>
      </c>
    </row>
    <row r="101" spans="1:14" ht="12.75">
      <c r="A101" s="141" t="s">
        <v>555</v>
      </c>
      <c r="B101" s="105">
        <v>804441</v>
      </c>
      <c r="C101" s="105" t="s">
        <v>124</v>
      </c>
      <c r="D101" s="386" t="s">
        <v>362</v>
      </c>
      <c r="E101" s="105" t="s">
        <v>8</v>
      </c>
      <c r="F101" s="570">
        <f>QUANT!F100</f>
        <v>1</v>
      </c>
      <c r="G101" s="573">
        <v>3934.04</v>
      </c>
      <c r="H101" s="577">
        <f t="shared" si="10"/>
        <v>4748.38</v>
      </c>
      <c r="I101" s="577">
        <f t="shared" si="11"/>
        <v>4748.38</v>
      </c>
      <c r="J101" s="157"/>
      <c r="M101" s="86">
        <v>1</v>
      </c>
      <c r="N101" s="86">
        <f t="shared" si="9"/>
        <v>0</v>
      </c>
    </row>
    <row r="102" spans="1:14" ht="12.75">
      <c r="A102" s="141" t="s">
        <v>556</v>
      </c>
      <c r="B102" s="105">
        <v>804447</v>
      </c>
      <c r="C102" s="105" t="s">
        <v>124</v>
      </c>
      <c r="D102" s="386" t="s">
        <v>363</v>
      </c>
      <c r="E102" s="105" t="s">
        <v>8</v>
      </c>
      <c r="F102" s="570">
        <f>QUANT!F101</f>
        <v>1</v>
      </c>
      <c r="G102" s="573">
        <v>5672.04</v>
      </c>
      <c r="H102" s="577">
        <f t="shared" si="10"/>
        <v>6846.15</v>
      </c>
      <c r="I102" s="577">
        <f t="shared" si="11"/>
        <v>6846.15</v>
      </c>
      <c r="J102" s="157"/>
      <c r="M102" s="86">
        <v>1</v>
      </c>
      <c r="N102" s="86">
        <f t="shared" si="9"/>
        <v>0</v>
      </c>
    </row>
    <row r="103" spans="1:14" ht="12.75">
      <c r="A103" s="141" t="s">
        <v>557</v>
      </c>
      <c r="B103" s="105">
        <v>804297</v>
      </c>
      <c r="C103" s="105" t="s">
        <v>124</v>
      </c>
      <c r="D103" s="386" t="s">
        <v>364</v>
      </c>
      <c r="E103" s="105" t="s">
        <v>7</v>
      </c>
      <c r="F103" s="570">
        <f>QUANT!F102</f>
        <v>18</v>
      </c>
      <c r="G103" s="573">
        <v>1997.83</v>
      </c>
      <c r="H103" s="577">
        <f t="shared" si="10"/>
        <v>2411.38</v>
      </c>
      <c r="I103" s="577">
        <f t="shared" si="11"/>
        <v>43404.84</v>
      </c>
      <c r="J103" s="157"/>
      <c r="M103" s="86">
        <v>18</v>
      </c>
      <c r="N103" s="86">
        <f t="shared" si="9"/>
        <v>0</v>
      </c>
    </row>
    <row r="104" spans="1:14" s="262" customFormat="1" ht="12.75">
      <c r="A104" s="141" t="s">
        <v>558</v>
      </c>
      <c r="B104" s="105" t="s">
        <v>571</v>
      </c>
      <c r="C104" s="105" t="s">
        <v>406</v>
      </c>
      <c r="D104" s="386" t="s">
        <v>248</v>
      </c>
      <c r="E104" s="105" t="s">
        <v>8</v>
      </c>
      <c r="F104" s="570">
        <f>QUANT!F103</f>
        <v>23</v>
      </c>
      <c r="G104" s="573">
        <v>1036.42</v>
      </c>
      <c r="H104" s="577">
        <f t="shared" si="10"/>
        <v>1250.95</v>
      </c>
      <c r="I104" s="577">
        <f t="shared" si="11"/>
        <v>28771.85</v>
      </c>
      <c r="J104" s="264"/>
      <c r="M104" s="86">
        <v>23</v>
      </c>
      <c r="N104" s="86">
        <f t="shared" si="9"/>
        <v>0</v>
      </c>
    </row>
    <row r="105" spans="1:14" s="262" customFormat="1" ht="12.75">
      <c r="A105" s="141" t="s">
        <v>559</v>
      </c>
      <c r="B105" s="105" t="s">
        <v>572</v>
      </c>
      <c r="C105" s="105" t="s">
        <v>406</v>
      </c>
      <c r="D105" s="386" t="s">
        <v>214</v>
      </c>
      <c r="E105" s="105" t="s">
        <v>8</v>
      </c>
      <c r="F105" s="570">
        <f>QUANT!F104</f>
        <v>16</v>
      </c>
      <c r="G105" s="573">
        <v>1895.12</v>
      </c>
      <c r="H105" s="577">
        <f t="shared" si="10"/>
        <v>2287.4</v>
      </c>
      <c r="I105" s="577">
        <f t="shared" si="11"/>
        <v>36598.400000000001</v>
      </c>
      <c r="J105" s="264"/>
      <c r="M105" s="86">
        <v>16</v>
      </c>
      <c r="N105" s="86">
        <f t="shared" si="9"/>
        <v>0</v>
      </c>
    </row>
    <row r="106" spans="1:14" s="262" customFormat="1" ht="12.75">
      <c r="A106" s="141" t="s">
        <v>560</v>
      </c>
      <c r="B106" s="105" t="s">
        <v>573</v>
      </c>
      <c r="C106" s="105" t="s">
        <v>406</v>
      </c>
      <c r="D106" s="386" t="s">
        <v>169</v>
      </c>
      <c r="E106" s="105" t="s">
        <v>4</v>
      </c>
      <c r="F106" s="570">
        <f>QUANT!F105</f>
        <v>29.762999999999998</v>
      </c>
      <c r="G106" s="573">
        <v>453.97</v>
      </c>
      <c r="H106" s="577">
        <f>TRUNC((G106*(1+($D$4))),2)</f>
        <v>547.94000000000005</v>
      </c>
      <c r="I106" s="577">
        <f>TRUNC(F106*H106,2)</f>
        <v>16308.33</v>
      </c>
      <c r="J106" s="264">
        <f>SUM(I93:I106)</f>
        <v>578584.76</v>
      </c>
      <c r="M106" s="86">
        <v>29.762999999999998</v>
      </c>
      <c r="N106" s="86">
        <f t="shared" si="9"/>
        <v>0</v>
      </c>
    </row>
    <row r="107" spans="1:14" s="262" customFormat="1" ht="12.75">
      <c r="A107" s="141"/>
      <c r="B107" s="105"/>
      <c r="C107" s="105"/>
      <c r="D107" s="386"/>
      <c r="E107" s="105"/>
      <c r="F107" s="570">
        <f>QUANT!F106</f>
        <v>0</v>
      </c>
      <c r="G107" s="573"/>
      <c r="H107" s="577"/>
      <c r="I107" s="577"/>
      <c r="J107" s="264"/>
      <c r="M107" s="86"/>
      <c r="N107" s="86">
        <f t="shared" si="9"/>
        <v>0</v>
      </c>
    </row>
    <row r="108" spans="1:14" s="262" customFormat="1" ht="12.75">
      <c r="A108" s="139" t="s">
        <v>561</v>
      </c>
      <c r="B108" s="127" t="s">
        <v>568</v>
      </c>
      <c r="C108" s="127"/>
      <c r="D108" s="385" t="s">
        <v>562</v>
      </c>
      <c r="E108" s="127"/>
      <c r="F108" s="570">
        <f>QUANT!F107</f>
        <v>0</v>
      </c>
      <c r="G108" s="574"/>
      <c r="H108" s="579"/>
      <c r="I108" s="579"/>
      <c r="J108" s="264"/>
      <c r="M108" s="86"/>
      <c r="N108" s="86">
        <f t="shared" si="9"/>
        <v>0</v>
      </c>
    </row>
    <row r="109" spans="1:14" s="262" customFormat="1" ht="12.75">
      <c r="A109" s="141" t="s">
        <v>563</v>
      </c>
      <c r="B109" s="105">
        <v>4413905</v>
      </c>
      <c r="C109" s="105" t="s">
        <v>124</v>
      </c>
      <c r="D109" s="386" t="s">
        <v>564</v>
      </c>
      <c r="E109" s="105" t="s">
        <v>5</v>
      </c>
      <c r="F109" s="570">
        <f>QUANT!F108</f>
        <v>16154.187</v>
      </c>
      <c r="G109" s="573">
        <v>3.13</v>
      </c>
      <c r="H109" s="577">
        <f>TRUNC((G109*(1+($D$4))),2)</f>
        <v>3.77</v>
      </c>
      <c r="I109" s="577">
        <f>TRUNC(F109*H109,2)</f>
        <v>60901.279999999999</v>
      </c>
      <c r="J109" s="264"/>
      <c r="M109" s="86">
        <v>16154.187</v>
      </c>
      <c r="N109" s="86">
        <f t="shared" si="9"/>
        <v>0</v>
      </c>
    </row>
    <row r="110" spans="1:14" s="262" customFormat="1" ht="12.75">
      <c r="A110" s="141" t="s">
        <v>565</v>
      </c>
      <c r="B110" s="105" t="s">
        <v>566</v>
      </c>
      <c r="C110" s="105" t="s">
        <v>124</v>
      </c>
      <c r="D110" s="386" t="s">
        <v>567</v>
      </c>
      <c r="E110" s="105" t="s">
        <v>187</v>
      </c>
      <c r="F110" s="570">
        <f>QUANT!F109</f>
        <v>64</v>
      </c>
      <c r="G110" s="573">
        <v>22.4</v>
      </c>
      <c r="H110" s="577">
        <f>TRUNC((G110*(1+($D$4))),2)</f>
        <v>27.03</v>
      </c>
      <c r="I110" s="577">
        <f>TRUNC(F110*H110,2)</f>
        <v>1729.92</v>
      </c>
      <c r="J110" s="264">
        <f>SUM(I109:I110)</f>
        <v>62631.199999999997</v>
      </c>
      <c r="M110" s="86">
        <v>64</v>
      </c>
      <c r="N110" s="86">
        <f t="shared" si="9"/>
        <v>0</v>
      </c>
    </row>
    <row r="111" spans="1:14" s="262" customFormat="1" ht="12.75">
      <c r="A111" s="141"/>
      <c r="B111" s="286"/>
      <c r="C111" s="260"/>
      <c r="D111" s="386">
        <v>0</v>
      </c>
      <c r="E111" s="260"/>
      <c r="F111" s="133"/>
      <c r="G111" s="283"/>
      <c r="H111" s="261"/>
      <c r="I111" s="261"/>
      <c r="J111" s="264"/>
      <c r="M111" s="86"/>
    </row>
    <row r="112" spans="1:14" ht="15" customHeight="1" thickBot="1">
      <c r="A112" s="635" t="s">
        <v>14</v>
      </c>
      <c r="B112" s="636"/>
      <c r="C112" s="224"/>
      <c r="D112" s="391" t="s">
        <v>14</v>
      </c>
      <c r="E112" s="224"/>
      <c r="F112" s="225"/>
      <c r="G112" s="268"/>
      <c r="H112" s="226"/>
      <c r="I112" s="226"/>
      <c r="J112" s="297">
        <f>SUM(J8:J110)</f>
        <v>6299618.4499999993</v>
      </c>
      <c r="M112" s="86"/>
    </row>
    <row r="113" spans="6:13" ht="15" customHeight="1">
      <c r="M113" s="86"/>
    </row>
    <row r="114" spans="6:13" ht="15" customHeight="1">
      <c r="F114" s="103">
        <f>SUM(F7:F113)</f>
        <v>1854437.2394524</v>
      </c>
      <c r="I114" s="103">
        <f>SUM(I6:I113)</f>
        <v>6299618.4500000002</v>
      </c>
      <c r="M114" s="86"/>
    </row>
    <row r="115" spans="6:13" ht="15" customHeight="1">
      <c r="M115" s="86"/>
    </row>
    <row r="116" spans="6:13" ht="15" customHeight="1">
      <c r="M116" s="86"/>
    </row>
    <row r="117" spans="6:13" ht="15" customHeight="1">
      <c r="M117" s="86"/>
    </row>
    <row r="118" spans="6:13" ht="15" customHeight="1">
      <c r="M118" s="86"/>
    </row>
    <row r="119" spans="6:13" ht="15" customHeight="1">
      <c r="M119" s="86"/>
    </row>
    <row r="120" spans="6:13" ht="15" customHeight="1">
      <c r="M120" s="86"/>
    </row>
    <row r="121" spans="6:13" ht="15" customHeight="1">
      <c r="M121" s="86"/>
    </row>
    <row r="122" spans="6:13" ht="15" customHeight="1">
      <c r="M122" s="86"/>
    </row>
    <row r="123" spans="6:13" ht="15" customHeight="1">
      <c r="M123" s="86"/>
    </row>
    <row r="124" spans="6:13" ht="15" customHeight="1">
      <c r="M124" s="86"/>
    </row>
    <row r="125" spans="6:13" ht="15" customHeight="1">
      <c r="M125" s="86"/>
    </row>
  </sheetData>
  <customSheetViews>
    <customSheetView guid="{E8D46A29-8D28-49CA-936A-9705D639E1C7}">
      <selection activeCell="H4" sqref="H4"/>
      <pageMargins left="0.39370078740157483" right="0.39370078740157483" top="0.98425196850393704" bottom="0.39370078740157483" header="0.51181102362204722" footer="0.51181102362204722"/>
      <printOptions horizontalCentered="1"/>
      <pageSetup paperSize="9" scale="75" orientation="portrait" r:id="rId1"/>
      <headerFooter alignWithMargins="0"/>
    </customSheetView>
  </customSheetViews>
  <mergeCells count="9">
    <mergeCell ref="J4:J5"/>
    <mergeCell ref="A112:B112"/>
    <mergeCell ref="E4:F4"/>
    <mergeCell ref="D3:I3"/>
    <mergeCell ref="A1:C3"/>
    <mergeCell ref="A4:C4"/>
    <mergeCell ref="A5:C5"/>
    <mergeCell ref="D1:I1"/>
    <mergeCell ref="D2:I2"/>
  </mergeCells>
  <phoneticPr fontId="0" type="noConversion"/>
  <printOptions horizontalCentered="1"/>
  <pageMargins left="0.39370078740157483" right="0.19685039370078741" top="0.59055118110236227" bottom="0.39370078740157483" header="0.51181102362204722" footer="0.51181102362204722"/>
  <pageSetup paperSize="9" scale="55" fitToWidth="4" fitToHeight="0" orientation="landscape" r:id="rId2"/>
  <headerFooter alignWithMargins="0"/>
  <rowBreaks count="1" manualBreakCount="1">
    <brk id="54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3"/>
  <dimension ref="A1:J49"/>
  <sheetViews>
    <sheetView zoomScale="90" zoomScaleNormal="90" workbookViewId="0">
      <selection activeCell="A2" sqref="A2:J2"/>
    </sheetView>
  </sheetViews>
  <sheetFormatPr defaultRowHeight="14.25" customHeight="1"/>
  <cols>
    <col min="1" max="1" width="13.7109375" customWidth="1"/>
    <col min="2" max="2" width="59" customWidth="1"/>
    <col min="3" max="3" width="12.7109375" customWidth="1"/>
    <col min="4" max="4" width="12.140625" customWidth="1"/>
    <col min="5" max="5" width="8" customWidth="1"/>
    <col min="6" max="6" width="13.42578125" bestFit="1" customWidth="1"/>
    <col min="8" max="8" width="20.28515625" customWidth="1"/>
    <col min="9" max="9" width="9.28515625" bestFit="1" customWidth="1"/>
    <col min="10" max="10" width="21.5703125" customWidth="1"/>
  </cols>
  <sheetData>
    <row r="1" spans="1:10" ht="14.25" customHeight="1">
      <c r="A1" s="174" t="s">
        <v>612</v>
      </c>
      <c r="B1" s="96"/>
      <c r="C1" s="96"/>
      <c r="D1" s="96"/>
      <c r="E1" s="96"/>
      <c r="F1" s="96"/>
      <c r="G1" s="96"/>
      <c r="H1" s="96"/>
      <c r="I1" s="96"/>
      <c r="J1" s="96"/>
    </row>
    <row r="2" spans="1:10" ht="45" customHeight="1">
      <c r="A2" s="645" t="s">
        <v>350</v>
      </c>
      <c r="B2" s="646"/>
      <c r="C2" s="646"/>
      <c r="D2" s="646"/>
      <c r="E2" s="646"/>
      <c r="F2" s="646"/>
      <c r="G2" s="646"/>
      <c r="H2" s="646"/>
      <c r="I2" s="646"/>
      <c r="J2" s="647"/>
    </row>
    <row r="3" spans="1:10" ht="23.25" customHeight="1">
      <c r="A3" s="177" t="s">
        <v>36</v>
      </c>
      <c r="B3" s="175" t="s">
        <v>3</v>
      </c>
      <c r="C3" s="175"/>
      <c r="D3" s="175"/>
      <c r="E3" s="175"/>
      <c r="F3" s="175"/>
      <c r="G3" s="175"/>
      <c r="H3" s="175"/>
      <c r="I3" s="175"/>
      <c r="J3" s="175"/>
    </row>
    <row r="4" spans="1:10" ht="12.75">
      <c r="A4" s="230" t="s">
        <v>584</v>
      </c>
      <c r="B4" s="231"/>
      <c r="C4" s="231"/>
      <c r="D4" s="231"/>
      <c r="E4" s="231"/>
      <c r="F4" s="231"/>
      <c r="G4" s="231"/>
      <c r="H4" s="232"/>
      <c r="I4" s="233"/>
      <c r="J4" s="234"/>
    </row>
    <row r="5" spans="1:10" ht="23.25" customHeight="1">
      <c r="A5" s="235" t="s">
        <v>15</v>
      </c>
      <c r="B5" s="235" t="s">
        <v>16</v>
      </c>
      <c r="C5" s="235" t="s">
        <v>17</v>
      </c>
      <c r="D5" s="235" t="s">
        <v>11</v>
      </c>
      <c r="E5" s="235" t="s">
        <v>18</v>
      </c>
      <c r="F5" s="236" t="s">
        <v>19</v>
      </c>
      <c r="G5" s="236"/>
      <c r="H5" s="237" t="s">
        <v>20</v>
      </c>
      <c r="I5" s="235" t="s">
        <v>21</v>
      </c>
      <c r="J5" s="235" t="s">
        <v>22</v>
      </c>
    </row>
    <row r="6" spans="1:10" ht="14.25" customHeight="1">
      <c r="A6" s="235"/>
      <c r="B6" s="235"/>
      <c r="C6" s="235"/>
      <c r="D6" s="235"/>
      <c r="E6" s="235"/>
      <c r="F6" s="236" t="s">
        <v>23</v>
      </c>
      <c r="G6" s="236" t="s">
        <v>10</v>
      </c>
      <c r="H6" s="237"/>
      <c r="I6" s="235"/>
      <c r="J6" s="235"/>
    </row>
    <row r="7" spans="1:10" ht="23.25" customHeight="1">
      <c r="A7" s="235" t="s">
        <v>416</v>
      </c>
      <c r="B7" s="244" t="s">
        <v>162</v>
      </c>
      <c r="C7" s="235" t="s">
        <v>293</v>
      </c>
      <c r="D7" s="245">
        <v>19168.797999999999</v>
      </c>
      <c r="E7" s="246" t="s">
        <v>4</v>
      </c>
      <c r="F7" s="236">
        <v>1.84</v>
      </c>
      <c r="G7" s="236" t="s">
        <v>294</v>
      </c>
      <c r="H7" s="238">
        <f>D7*F7</f>
        <v>35270.588320000003</v>
      </c>
      <c r="I7" s="246">
        <v>1</v>
      </c>
      <c r="J7" s="247">
        <f>H7*I7</f>
        <v>35270.588320000003</v>
      </c>
    </row>
    <row r="8" spans="1:10" ht="15.75" customHeight="1">
      <c r="A8" s="241"/>
      <c r="B8" s="248"/>
      <c r="C8" s="242"/>
      <c r="D8" s="249"/>
      <c r="E8" s="250"/>
      <c r="F8" s="243"/>
      <c r="G8" s="243"/>
      <c r="H8" s="251"/>
      <c r="I8" s="246"/>
      <c r="J8" s="252">
        <f>SUM(J7)</f>
        <v>35270.588320000003</v>
      </c>
    </row>
    <row r="9" spans="1:10" ht="23.25" customHeight="1">
      <c r="A9" s="230" t="s">
        <v>585</v>
      </c>
      <c r="B9" s="231"/>
      <c r="C9" s="231"/>
      <c r="D9" s="231"/>
      <c r="E9" s="231"/>
      <c r="F9" s="231"/>
      <c r="G9" s="231"/>
      <c r="H9" s="232"/>
      <c r="I9" s="233"/>
      <c r="J9" s="240"/>
    </row>
    <row r="10" spans="1:10" ht="23.25" customHeight="1">
      <c r="A10" s="235" t="s">
        <v>15</v>
      </c>
      <c r="B10" s="235" t="s">
        <v>16</v>
      </c>
      <c r="C10" s="235" t="s">
        <v>17</v>
      </c>
      <c r="D10" s="235" t="s">
        <v>11</v>
      </c>
      <c r="E10" s="235" t="s">
        <v>18</v>
      </c>
      <c r="F10" s="236" t="s">
        <v>19</v>
      </c>
      <c r="G10" s="236"/>
      <c r="H10" s="237" t="s">
        <v>20</v>
      </c>
      <c r="I10" s="235" t="s">
        <v>21</v>
      </c>
      <c r="J10" s="235" t="s">
        <v>22</v>
      </c>
    </row>
    <row r="11" spans="1:10" ht="14.25" customHeight="1">
      <c r="A11" s="235"/>
      <c r="B11" s="235"/>
      <c r="C11" s="235"/>
      <c r="D11" s="235"/>
      <c r="E11" s="235"/>
      <c r="F11" s="236" t="s">
        <v>23</v>
      </c>
      <c r="G11" s="236" t="s">
        <v>10</v>
      </c>
      <c r="H11" s="237"/>
      <c r="I11" s="235"/>
      <c r="J11" s="235"/>
    </row>
    <row r="12" spans="1:10" ht="23.25" customHeight="1">
      <c r="A12" s="235" t="s">
        <v>416</v>
      </c>
      <c r="B12" s="244" t="s">
        <v>162</v>
      </c>
      <c r="C12" s="236" t="s">
        <v>24</v>
      </c>
      <c r="D12" s="245">
        <f>D7</f>
        <v>19168.797999999999</v>
      </c>
      <c r="E12" s="236" t="s">
        <v>4</v>
      </c>
      <c r="F12" s="236">
        <v>1.84</v>
      </c>
      <c r="G12" s="236" t="s">
        <v>291</v>
      </c>
      <c r="H12" s="239">
        <f>D12*F12</f>
        <v>35270.588320000003</v>
      </c>
      <c r="I12" s="236">
        <v>19</v>
      </c>
      <c r="J12" s="234">
        <f>H12*I12</f>
        <v>670141.1780800001</v>
      </c>
    </row>
    <row r="13" spans="1:10" ht="14.25" customHeight="1">
      <c r="A13" s="236" t="s">
        <v>14</v>
      </c>
      <c r="B13" s="233"/>
      <c r="C13" s="233"/>
      <c r="D13" s="233"/>
      <c r="E13" s="233"/>
      <c r="F13" s="233"/>
      <c r="G13" s="233"/>
      <c r="H13" s="233"/>
      <c r="I13" s="233"/>
      <c r="J13" s="240">
        <f>SUM(J12:J12)</f>
        <v>670141.1780800001</v>
      </c>
    </row>
    <row r="14" spans="1:10" s="298" customFormat="1" ht="12" customHeight="1">
      <c r="A14" s="299"/>
      <c r="B14" s="299"/>
      <c r="C14" s="299"/>
      <c r="D14" s="299"/>
      <c r="E14" s="299"/>
      <c r="F14" s="299"/>
      <c r="G14" s="299"/>
      <c r="H14" s="299"/>
      <c r="I14" s="299"/>
      <c r="J14" s="299"/>
    </row>
    <row r="15" spans="1:10" ht="17.25" customHeight="1">
      <c r="A15" s="176" t="s">
        <v>281</v>
      </c>
      <c r="B15" s="179" t="s">
        <v>188</v>
      </c>
      <c r="C15" s="178"/>
      <c r="D15" s="178"/>
      <c r="E15" s="178"/>
      <c r="F15" s="178"/>
      <c r="G15" s="178"/>
      <c r="H15" s="178"/>
      <c r="I15" s="178"/>
      <c r="J15" s="178"/>
    </row>
    <row r="16" spans="1:10" ht="14.25" customHeight="1">
      <c r="A16" s="230" t="s">
        <v>584</v>
      </c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ht="25.5">
      <c r="A17" s="97" t="s">
        <v>15</v>
      </c>
      <c r="B17" s="97" t="s">
        <v>16</v>
      </c>
      <c r="C17" s="97" t="s">
        <v>17</v>
      </c>
      <c r="D17" s="97" t="s">
        <v>11</v>
      </c>
      <c r="E17" s="97" t="s">
        <v>18</v>
      </c>
      <c r="F17" s="7" t="s">
        <v>19</v>
      </c>
      <c r="G17" s="7"/>
      <c r="H17" s="97" t="s">
        <v>20</v>
      </c>
      <c r="I17" s="97" t="s">
        <v>21</v>
      </c>
      <c r="J17" s="97" t="s">
        <v>22</v>
      </c>
    </row>
    <row r="18" spans="1:10" ht="14.25" customHeight="1">
      <c r="A18" s="97"/>
      <c r="B18" s="97"/>
      <c r="C18" s="97"/>
      <c r="D18" s="97"/>
      <c r="E18" s="97"/>
      <c r="F18" s="7" t="s">
        <v>23</v>
      </c>
      <c r="G18" s="7" t="s">
        <v>10</v>
      </c>
      <c r="H18" s="97"/>
      <c r="I18" s="97"/>
      <c r="J18" s="97"/>
    </row>
    <row r="19" spans="1:10" ht="38.25" customHeight="1">
      <c r="A19" s="84">
        <v>4011211</v>
      </c>
      <c r="B19" s="98" t="s">
        <v>508</v>
      </c>
      <c r="C19" s="84" t="s">
        <v>24</v>
      </c>
      <c r="D19" s="9">
        <v>9176.130000000001</v>
      </c>
      <c r="E19" s="7" t="s">
        <v>4</v>
      </c>
      <c r="F19" s="7">
        <v>1.84</v>
      </c>
      <c r="G19" s="7" t="s">
        <v>25</v>
      </c>
      <c r="H19" s="10">
        <f>D19*F19</f>
        <v>16884.079200000004</v>
      </c>
      <c r="I19" s="7">
        <v>1</v>
      </c>
      <c r="J19" s="11">
        <f>H19*I19</f>
        <v>16884.079200000004</v>
      </c>
    </row>
    <row r="20" spans="1:10" ht="38.25" customHeight="1">
      <c r="A20" s="84" t="s">
        <v>509</v>
      </c>
      <c r="B20" s="98" t="s">
        <v>510</v>
      </c>
      <c r="C20" s="84" t="s">
        <v>24</v>
      </c>
      <c r="D20" s="9">
        <v>4162.12</v>
      </c>
      <c r="E20" s="7" t="s">
        <v>4</v>
      </c>
      <c r="F20" s="7">
        <v>1.84</v>
      </c>
      <c r="G20" s="7" t="s">
        <v>25</v>
      </c>
      <c r="H20" s="10">
        <f>D20*F20</f>
        <v>7658.3008</v>
      </c>
      <c r="I20" s="7">
        <v>1</v>
      </c>
      <c r="J20" s="11">
        <f>H20*I20</f>
        <v>7658.3008</v>
      </c>
    </row>
    <row r="21" spans="1:10" ht="38.25" customHeight="1">
      <c r="A21" s="84" t="s">
        <v>511</v>
      </c>
      <c r="B21" s="98" t="s">
        <v>512</v>
      </c>
      <c r="C21" s="84" t="s">
        <v>24</v>
      </c>
      <c r="D21" s="9">
        <v>4162.12</v>
      </c>
      <c r="E21" s="7" t="s">
        <v>4</v>
      </c>
      <c r="F21" s="7">
        <v>1.84</v>
      </c>
      <c r="G21" s="7" t="s">
        <v>25</v>
      </c>
      <c r="H21" s="10">
        <f>D21*F21</f>
        <v>7658.3008</v>
      </c>
      <c r="I21" s="7">
        <v>1</v>
      </c>
      <c r="J21" s="11">
        <f>H21*I21</f>
        <v>7658.3008</v>
      </c>
    </row>
    <row r="22" spans="1:10" ht="14.25" customHeight="1">
      <c r="A22" s="168" t="s">
        <v>14</v>
      </c>
      <c r="B22" s="6"/>
      <c r="C22" s="6"/>
      <c r="D22" s="6"/>
      <c r="E22" s="6"/>
      <c r="F22" s="6"/>
      <c r="G22" s="6"/>
      <c r="H22" s="6"/>
      <c r="I22" s="6"/>
      <c r="J22" s="12">
        <f>SUM(J19:J21)</f>
        <v>32200.680800000006</v>
      </c>
    </row>
    <row r="23" spans="1:10" ht="14.25" customHeight="1">
      <c r="A23" s="7"/>
      <c r="B23" s="6"/>
      <c r="C23" s="6"/>
      <c r="D23" s="6"/>
      <c r="E23" s="6"/>
      <c r="F23" s="6"/>
      <c r="G23" s="6"/>
      <c r="H23" s="6"/>
      <c r="I23" s="6"/>
      <c r="J23" s="11"/>
    </row>
    <row r="24" spans="1:10" ht="12.75">
      <c r="A24" s="230" t="s">
        <v>585</v>
      </c>
      <c r="B24" s="180"/>
      <c r="C24" s="180"/>
      <c r="D24" s="180"/>
      <c r="E24" s="180"/>
      <c r="F24" s="180"/>
      <c r="G24" s="180"/>
      <c r="H24" s="180"/>
      <c r="I24" s="6"/>
      <c r="J24" s="11"/>
    </row>
    <row r="25" spans="1:10" ht="25.5">
      <c r="A25" s="97" t="s">
        <v>15</v>
      </c>
      <c r="B25" s="97" t="s">
        <v>16</v>
      </c>
      <c r="C25" s="97" t="s">
        <v>17</v>
      </c>
      <c r="D25" s="97" t="s">
        <v>11</v>
      </c>
      <c r="E25" s="97" t="s">
        <v>18</v>
      </c>
      <c r="F25" s="7" t="s">
        <v>19</v>
      </c>
      <c r="G25" s="7"/>
      <c r="H25" s="97" t="s">
        <v>20</v>
      </c>
      <c r="I25" s="97" t="s">
        <v>21</v>
      </c>
      <c r="J25" s="97" t="s">
        <v>22</v>
      </c>
    </row>
    <row r="26" spans="1:10" ht="14.25" customHeight="1">
      <c r="A26" s="97"/>
      <c r="B26" s="97"/>
      <c r="C26" s="97"/>
      <c r="D26" s="97"/>
      <c r="E26" s="97"/>
      <c r="F26" s="7" t="s">
        <v>23</v>
      </c>
      <c r="G26" s="7" t="s">
        <v>10</v>
      </c>
      <c r="H26" s="97"/>
      <c r="I26" s="97"/>
      <c r="J26" s="97"/>
    </row>
    <row r="27" spans="1:10" ht="12.75">
      <c r="A27" s="7">
        <v>4011211</v>
      </c>
      <c r="B27" s="98" t="s">
        <v>508</v>
      </c>
      <c r="C27" s="7" t="s">
        <v>24</v>
      </c>
      <c r="D27" s="9">
        <v>9176.130000000001</v>
      </c>
      <c r="E27" s="7" t="s">
        <v>4</v>
      </c>
      <c r="F27" s="7">
        <v>2.0625</v>
      </c>
      <c r="G27" s="7" t="s">
        <v>25</v>
      </c>
      <c r="H27" s="10">
        <f t="shared" ref="H27:H34" si="0">D27*F27</f>
        <v>18925.768125000002</v>
      </c>
      <c r="I27" s="7">
        <f>I12</f>
        <v>19</v>
      </c>
      <c r="J27" s="11">
        <f t="shared" ref="J27:J33" si="1">H27*I27</f>
        <v>359589.59437500004</v>
      </c>
    </row>
    <row r="28" spans="1:10" ht="25.5">
      <c r="A28" s="7" t="s">
        <v>509</v>
      </c>
      <c r="B28" s="98" t="s">
        <v>510</v>
      </c>
      <c r="C28" s="7" t="s">
        <v>24</v>
      </c>
      <c r="D28" s="9">
        <v>4162.12</v>
      </c>
      <c r="E28" s="7" t="s">
        <v>4</v>
      </c>
      <c r="F28" s="7">
        <v>2.0625</v>
      </c>
      <c r="G28" s="7" t="s">
        <v>25</v>
      </c>
      <c r="H28" s="10">
        <f t="shared" si="0"/>
        <v>8584.3724999999995</v>
      </c>
      <c r="I28" s="7">
        <f>I12</f>
        <v>19</v>
      </c>
      <c r="J28" s="11">
        <f t="shared" si="1"/>
        <v>163103.07749999998</v>
      </c>
    </row>
    <row r="29" spans="1:10" ht="25.5">
      <c r="A29" s="7" t="s">
        <v>511</v>
      </c>
      <c r="B29" s="98" t="s">
        <v>512</v>
      </c>
      <c r="C29" s="7" t="s">
        <v>24</v>
      </c>
      <c r="D29" s="9">
        <v>4162.12</v>
      </c>
      <c r="E29" s="7" t="s">
        <v>4</v>
      </c>
      <c r="F29" s="7">
        <v>2.0625</v>
      </c>
      <c r="G29" s="7" t="s">
        <v>25</v>
      </c>
      <c r="H29" s="10">
        <f t="shared" si="0"/>
        <v>8584.3724999999995</v>
      </c>
      <c r="I29" s="7">
        <f>I12</f>
        <v>19</v>
      </c>
      <c r="J29" s="11">
        <f t="shared" si="1"/>
        <v>163103.07749999998</v>
      </c>
    </row>
    <row r="30" spans="1:10" ht="14.25" customHeight="1">
      <c r="A30" s="84">
        <v>4011463</v>
      </c>
      <c r="B30" s="98" t="s">
        <v>514</v>
      </c>
      <c r="C30" s="7" t="s">
        <v>586</v>
      </c>
      <c r="D30" s="9">
        <v>1544.4829999999999</v>
      </c>
      <c r="E30" s="7" t="s">
        <v>4</v>
      </c>
      <c r="F30" s="84">
        <v>0.48713000000000001</v>
      </c>
      <c r="G30" s="7" t="s">
        <v>587</v>
      </c>
      <c r="H30" s="10">
        <f t="shared" si="0"/>
        <v>752.36400378999997</v>
      </c>
      <c r="I30" s="7">
        <v>6.5</v>
      </c>
      <c r="J30" s="11">
        <f t="shared" si="1"/>
        <v>4890.366024635</v>
      </c>
    </row>
    <row r="31" spans="1:10" ht="14.25" customHeight="1">
      <c r="A31" s="84">
        <v>4011463</v>
      </c>
      <c r="B31" s="98" t="s">
        <v>514</v>
      </c>
      <c r="C31" s="7" t="s">
        <v>588</v>
      </c>
      <c r="D31" s="9">
        <v>1544.4829999999999</v>
      </c>
      <c r="E31" s="7" t="s">
        <v>515</v>
      </c>
      <c r="F31" s="84">
        <v>9.3679999999999999E-2</v>
      </c>
      <c r="G31" s="7" t="s">
        <v>587</v>
      </c>
      <c r="H31" s="10">
        <f t="shared" si="0"/>
        <v>144.68716744</v>
      </c>
      <c r="I31" s="7">
        <v>43.1</v>
      </c>
      <c r="J31" s="11">
        <f t="shared" si="1"/>
        <v>6236.0169166639998</v>
      </c>
    </row>
    <row r="32" spans="1:10" ht="12.75">
      <c r="A32" s="84">
        <v>4011463</v>
      </c>
      <c r="B32" s="98" t="s">
        <v>514</v>
      </c>
      <c r="C32" s="7" t="s">
        <v>589</v>
      </c>
      <c r="D32" s="9">
        <v>1544.4829999999999</v>
      </c>
      <c r="E32" s="7" t="s">
        <v>515</v>
      </c>
      <c r="F32" s="84">
        <v>9.3679999999999999E-2</v>
      </c>
      <c r="G32" s="7" t="s">
        <v>587</v>
      </c>
      <c r="H32" s="10">
        <f t="shared" si="0"/>
        <v>144.68716744</v>
      </c>
      <c r="I32" s="7">
        <v>43.1</v>
      </c>
      <c r="J32" s="11">
        <f t="shared" si="1"/>
        <v>6236.0169166639998</v>
      </c>
    </row>
    <row r="33" spans="1:10" ht="14.25" customHeight="1">
      <c r="A33" s="84">
        <v>4011463</v>
      </c>
      <c r="B33" s="98" t="s">
        <v>514</v>
      </c>
      <c r="C33" s="7" t="s">
        <v>590</v>
      </c>
      <c r="D33" s="9">
        <v>1544.4829999999999</v>
      </c>
      <c r="E33" s="7" t="s">
        <v>515</v>
      </c>
      <c r="F33" s="84">
        <v>0.20609</v>
      </c>
      <c r="G33" s="7" t="s">
        <v>587</v>
      </c>
      <c r="H33" s="10">
        <f t="shared" si="0"/>
        <v>318.30250146999998</v>
      </c>
      <c r="I33" s="7">
        <v>43.1</v>
      </c>
      <c r="J33" s="11">
        <f t="shared" si="1"/>
        <v>13718.837813357</v>
      </c>
    </row>
    <row r="34" spans="1:10" ht="12.75">
      <c r="A34" s="84">
        <v>4011463</v>
      </c>
      <c r="B34" s="98" t="s">
        <v>514</v>
      </c>
      <c r="C34" s="7" t="s">
        <v>212</v>
      </c>
      <c r="D34" s="9">
        <v>1544.4829999999999</v>
      </c>
      <c r="E34" s="7" t="s">
        <v>4</v>
      </c>
      <c r="F34" s="545">
        <v>1</v>
      </c>
      <c r="G34" s="7" t="s">
        <v>25</v>
      </c>
      <c r="H34" s="10">
        <f t="shared" si="0"/>
        <v>1544.4829999999999</v>
      </c>
      <c r="I34" s="7">
        <v>8.3000000000000007</v>
      </c>
      <c r="J34" s="11">
        <f>INT(H34*I34*100)/100</f>
        <v>12819.2</v>
      </c>
    </row>
    <row r="35" spans="1:10" ht="14.25" customHeight="1">
      <c r="A35" s="168" t="s">
        <v>14</v>
      </c>
      <c r="B35" s="6"/>
      <c r="C35" s="6"/>
      <c r="D35" s="6"/>
      <c r="E35" s="6"/>
      <c r="F35" s="6"/>
      <c r="G35" s="6"/>
      <c r="H35" s="6"/>
      <c r="I35" s="6"/>
      <c r="J35" s="12">
        <f>SUM(J27:J34)</f>
        <v>729696.18704631994</v>
      </c>
    </row>
    <row r="36" spans="1:10" ht="14.25" customHeight="1">
      <c r="A36" s="97"/>
      <c r="B36" s="167"/>
      <c r="C36" s="6"/>
      <c r="D36" s="6"/>
      <c r="E36" s="6"/>
      <c r="F36" s="6"/>
      <c r="G36" s="6"/>
      <c r="H36" s="6"/>
      <c r="I36" s="6"/>
      <c r="J36" s="12"/>
    </row>
    <row r="37" spans="1:10" ht="14.25" customHeight="1">
      <c r="A37" s="168" t="s">
        <v>215</v>
      </c>
      <c r="B37" s="174" t="s">
        <v>6</v>
      </c>
      <c r="C37" s="96"/>
      <c r="D37" s="96"/>
      <c r="E37" s="96"/>
      <c r="F37" s="96"/>
      <c r="G37" s="96"/>
      <c r="H37" s="96"/>
      <c r="I37" s="96"/>
      <c r="J37" s="96"/>
    </row>
    <row r="38" spans="1:10" ht="14.25" customHeight="1">
      <c r="A38" s="230" t="s">
        <v>584</v>
      </c>
      <c r="B38" s="101"/>
      <c r="C38" s="101"/>
      <c r="D38" s="101"/>
      <c r="E38" s="101"/>
      <c r="F38" s="101"/>
      <c r="G38" s="101"/>
      <c r="H38" s="101"/>
      <c r="I38" s="101"/>
      <c r="J38" s="101"/>
    </row>
    <row r="39" spans="1:10" ht="25.5">
      <c r="A39" s="97" t="s">
        <v>15</v>
      </c>
      <c r="B39" s="97" t="s">
        <v>16</v>
      </c>
      <c r="C39" s="97" t="s">
        <v>17</v>
      </c>
      <c r="D39" s="97" t="s">
        <v>11</v>
      </c>
      <c r="E39" s="97" t="s">
        <v>18</v>
      </c>
      <c r="F39" s="7" t="s">
        <v>19</v>
      </c>
      <c r="G39" s="7"/>
      <c r="H39" s="97" t="s">
        <v>20</v>
      </c>
      <c r="I39" s="97" t="s">
        <v>21</v>
      </c>
      <c r="J39" s="97" t="s">
        <v>22</v>
      </c>
    </row>
    <row r="40" spans="1:10" ht="14.25" customHeight="1">
      <c r="A40" s="97"/>
      <c r="B40" s="97"/>
      <c r="C40" s="97"/>
      <c r="D40" s="97"/>
      <c r="E40" s="97"/>
      <c r="F40" s="7" t="s">
        <v>23</v>
      </c>
      <c r="G40" s="7" t="s">
        <v>10</v>
      </c>
      <c r="H40" s="97"/>
      <c r="I40" s="97"/>
      <c r="J40" s="97"/>
    </row>
    <row r="41" spans="1:10" ht="38.25" customHeight="1">
      <c r="A41" s="7" t="s">
        <v>578</v>
      </c>
      <c r="B41" s="98" t="s">
        <v>129</v>
      </c>
      <c r="C41" s="84" t="s">
        <v>24</v>
      </c>
      <c r="D41" s="123">
        <v>2900.2620752000003</v>
      </c>
      <c r="E41" s="84" t="s">
        <v>4</v>
      </c>
      <c r="F41" s="84">
        <v>2.0625</v>
      </c>
      <c r="G41" s="84" t="s">
        <v>25</v>
      </c>
      <c r="H41" s="124">
        <f>D41*F41</f>
        <v>5981.790530100001</v>
      </c>
      <c r="I41" s="84">
        <v>1</v>
      </c>
      <c r="J41" s="125">
        <f>H41*I41</f>
        <v>5981.790530100001</v>
      </c>
    </row>
    <row r="42" spans="1:10" ht="14.25" customHeight="1">
      <c r="A42" s="168"/>
      <c r="B42" s="174"/>
      <c r="C42" s="96"/>
      <c r="D42" s="96"/>
      <c r="E42" s="96"/>
      <c r="F42" s="96"/>
      <c r="G42" s="96"/>
      <c r="H42" s="96"/>
      <c r="I42" s="96"/>
      <c r="J42" s="100">
        <f>SUM(J41)</f>
        <v>5981.790530100001</v>
      </c>
    </row>
    <row r="43" spans="1:10" ht="14.25" customHeight="1">
      <c r="A43" s="168"/>
      <c r="B43" s="174"/>
      <c r="C43" s="96"/>
      <c r="D43" s="96"/>
      <c r="E43" s="96"/>
      <c r="F43" s="96"/>
      <c r="G43" s="96"/>
      <c r="H43" s="96"/>
      <c r="I43" s="96"/>
      <c r="J43" s="96"/>
    </row>
    <row r="44" spans="1:10" ht="14.25" customHeight="1">
      <c r="A44" s="230" t="s">
        <v>585</v>
      </c>
      <c r="B44" s="180"/>
      <c r="C44" s="180"/>
      <c r="D44" s="180"/>
      <c r="E44" s="180"/>
      <c r="F44" s="180"/>
      <c r="G44" s="180"/>
      <c r="H44" s="180"/>
      <c r="I44" s="6"/>
      <c r="J44" s="11"/>
    </row>
    <row r="45" spans="1:10" ht="25.5">
      <c r="A45" s="97" t="s">
        <v>15</v>
      </c>
      <c r="B45" s="97" t="s">
        <v>16</v>
      </c>
      <c r="C45" s="97" t="s">
        <v>17</v>
      </c>
      <c r="D45" s="97" t="s">
        <v>11</v>
      </c>
      <c r="E45" s="97" t="s">
        <v>18</v>
      </c>
      <c r="F45" s="84" t="s">
        <v>19</v>
      </c>
      <c r="G45" s="7"/>
      <c r="H45" s="97" t="s">
        <v>20</v>
      </c>
      <c r="I45" s="97" t="s">
        <v>21</v>
      </c>
      <c r="J45" s="97" t="s">
        <v>22</v>
      </c>
    </row>
    <row r="46" spans="1:10" ht="14.25" customHeight="1">
      <c r="A46" s="97"/>
      <c r="B46" s="97"/>
      <c r="C46" s="97"/>
      <c r="D46" s="97"/>
      <c r="E46" s="97"/>
      <c r="F46" s="7" t="s">
        <v>23</v>
      </c>
      <c r="G46" s="7" t="s">
        <v>10</v>
      </c>
      <c r="H46" s="97"/>
      <c r="I46" s="97"/>
      <c r="J46" s="97"/>
    </row>
    <row r="47" spans="1:10" s="126" customFormat="1" ht="36" customHeight="1">
      <c r="A47" s="97" t="s">
        <v>578</v>
      </c>
      <c r="B47" s="167" t="s">
        <v>129</v>
      </c>
      <c r="C47" s="84" t="s">
        <v>24</v>
      </c>
      <c r="D47" s="123">
        <v>2900.2620752000003</v>
      </c>
      <c r="E47" s="84" t="s">
        <v>4</v>
      </c>
      <c r="F47" s="84">
        <v>2.0625</v>
      </c>
      <c r="G47" s="84" t="s">
        <v>25</v>
      </c>
      <c r="H47" s="124">
        <f>D47*F47</f>
        <v>5981.790530100001</v>
      </c>
      <c r="I47" s="84">
        <f>I12</f>
        <v>19</v>
      </c>
      <c r="J47" s="125">
        <f>H47*I47</f>
        <v>113654.02007190001</v>
      </c>
    </row>
    <row r="48" spans="1:10" s="126" customFormat="1" ht="12.75">
      <c r="A48" s="168" t="s">
        <v>14</v>
      </c>
      <c r="B48" s="96"/>
      <c r="C48" s="96"/>
      <c r="D48" s="96"/>
      <c r="E48" s="96"/>
      <c r="F48" s="96"/>
      <c r="G48" s="96"/>
      <c r="H48" s="96"/>
      <c r="I48" s="96"/>
      <c r="J48" s="100">
        <f>J47</f>
        <v>113654.02007190001</v>
      </c>
    </row>
    <row r="49" spans="1:10" s="126" customFormat="1" ht="12.75">
      <c r="A49" s="97"/>
      <c r="B49" s="167"/>
      <c r="C49" s="84"/>
      <c r="D49" s="123"/>
      <c r="E49" s="84"/>
      <c r="F49" s="84"/>
      <c r="G49" s="84"/>
      <c r="H49" s="124"/>
      <c r="I49" s="84"/>
      <c r="J49" s="125"/>
    </row>
  </sheetData>
  <customSheetViews>
    <customSheetView guid="{E8D46A29-8D28-49CA-936A-9705D639E1C7}" topLeftCell="A7">
      <selection activeCell="F28" sqref="F28:G28"/>
      <pageMargins left="0.78740157480314965" right="0.78740157480314965" top="0.98425196850393704" bottom="0.98425196850393704" header="0.51181102362204722" footer="0.51181102362204722"/>
      <printOptions horizontalCentered="1"/>
      <pageSetup scale="90" orientation="landscape" horizontalDpi="4294967293" r:id="rId1"/>
      <headerFooter alignWithMargins="0"/>
    </customSheetView>
  </customSheetViews>
  <mergeCells count="1">
    <mergeCell ref="A2:J2"/>
  </mergeCells>
  <phoneticPr fontId="0" type="noConversion"/>
  <printOptions horizontalCentered="1"/>
  <pageMargins left="0.78740157480314965" right="0.78740157480314965" top="0.98425196850393704" bottom="0.59055118110236227" header="0.51181102362204722" footer="0.51181102362204722"/>
  <pageSetup paperSize="9" scale="70" orientation="landscape" horizontalDpi="4294967293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68"/>
  <sheetViews>
    <sheetView workbookViewId="0">
      <selection activeCell="F57" sqref="F57"/>
    </sheetView>
  </sheetViews>
  <sheetFormatPr defaultRowHeight="12.75"/>
  <cols>
    <col min="1" max="1" width="28" customWidth="1"/>
    <col min="2" max="2" width="16.7109375" customWidth="1"/>
    <col min="3" max="3" width="11.28515625" bestFit="1" customWidth="1"/>
    <col min="4" max="4" width="10.42578125" bestFit="1" customWidth="1"/>
    <col min="5" max="5" width="18.42578125" customWidth="1"/>
    <col min="6" max="6" width="13.42578125" bestFit="1" customWidth="1"/>
    <col min="7" max="7" width="7.42578125" bestFit="1" customWidth="1"/>
    <col min="8" max="8" width="8.140625" bestFit="1" customWidth="1"/>
    <col min="9" max="9" width="13.140625" customWidth="1"/>
    <col min="11" max="11" width="28.7109375" customWidth="1"/>
    <col min="12" max="12" width="15.42578125" customWidth="1"/>
    <col min="13" max="13" width="11.28515625" bestFit="1" customWidth="1"/>
    <col min="14" max="14" width="10.42578125" bestFit="1" customWidth="1"/>
    <col min="15" max="15" width="18.42578125" customWidth="1"/>
    <col min="16" max="16" width="13.42578125" bestFit="1" customWidth="1"/>
    <col min="17" max="17" width="7.42578125" bestFit="1" customWidth="1"/>
    <col min="18" max="18" width="8.140625" bestFit="1" customWidth="1"/>
    <col min="19" max="19" width="13.42578125" customWidth="1"/>
  </cols>
  <sheetData>
    <row r="1" spans="1:19" ht="15.75" thickBot="1">
      <c r="A1" s="692" t="s">
        <v>421</v>
      </c>
      <c r="B1" s="693"/>
      <c r="C1" s="693"/>
      <c r="D1" s="693"/>
      <c r="E1" s="693"/>
      <c r="F1" s="693"/>
      <c r="G1" s="693"/>
      <c r="H1" s="693"/>
      <c r="I1" s="694"/>
      <c r="J1" s="397"/>
      <c r="K1" s="692"/>
      <c r="L1" s="693"/>
      <c r="M1" s="693"/>
      <c r="N1" s="693"/>
      <c r="O1" s="693"/>
      <c r="P1" s="693"/>
      <c r="Q1" s="693"/>
      <c r="R1" s="693"/>
      <c r="S1" s="694"/>
    </row>
    <row r="2" spans="1:19" ht="15">
      <c r="A2" s="692" t="s">
        <v>422</v>
      </c>
      <c r="B2" s="693"/>
      <c r="C2" s="693"/>
      <c r="D2" s="693"/>
      <c r="E2" s="693"/>
      <c r="F2" s="693"/>
      <c r="G2" s="693"/>
      <c r="H2" s="693"/>
      <c r="I2" s="694"/>
      <c r="J2" s="397"/>
      <c r="K2" s="683"/>
      <c r="L2" s="684"/>
      <c r="M2" s="684"/>
      <c r="N2" s="684"/>
      <c r="O2" s="684"/>
      <c r="P2" s="684"/>
      <c r="Q2" s="684"/>
      <c r="R2" s="684"/>
      <c r="S2" s="685"/>
    </row>
    <row r="3" spans="1:19" ht="15.75" thickBot="1">
      <c r="A3" s="683" t="s">
        <v>423</v>
      </c>
      <c r="B3" s="684"/>
      <c r="C3" s="684"/>
      <c r="D3" s="684"/>
      <c r="E3" s="684"/>
      <c r="F3" s="684"/>
      <c r="G3" s="684"/>
      <c r="H3" s="684"/>
      <c r="I3" s="685"/>
      <c r="J3" s="397"/>
      <c r="K3" s="689"/>
      <c r="L3" s="690"/>
      <c r="M3" s="690"/>
      <c r="N3" s="690"/>
      <c r="O3" s="690"/>
      <c r="P3" s="690"/>
      <c r="Q3" s="690"/>
      <c r="R3" s="690"/>
      <c r="S3" s="691"/>
    </row>
    <row r="4" spans="1:19" ht="15.75" thickBot="1">
      <c r="A4" s="686" t="s">
        <v>424</v>
      </c>
      <c r="B4" s="687"/>
      <c r="C4" s="687"/>
      <c r="D4" s="687"/>
      <c r="E4" s="687"/>
      <c r="F4" s="687"/>
      <c r="G4" s="687"/>
      <c r="H4" s="687"/>
      <c r="I4" s="688"/>
      <c r="J4" s="397"/>
      <c r="K4" s="686"/>
      <c r="L4" s="687"/>
      <c r="M4" s="687"/>
      <c r="N4" s="687"/>
      <c r="O4" s="687"/>
      <c r="P4" s="687"/>
      <c r="Q4" s="687"/>
      <c r="R4" s="687"/>
      <c r="S4" s="688"/>
    </row>
    <row r="5" spans="1:19" ht="15">
      <c r="A5" s="398"/>
      <c r="B5" s="399"/>
      <c r="C5" s="399"/>
      <c r="D5" s="399"/>
      <c r="E5" s="399"/>
      <c r="F5" s="399"/>
      <c r="G5" s="399"/>
      <c r="H5" s="399"/>
      <c r="I5" s="400"/>
      <c r="J5" s="397"/>
      <c r="K5" s="398"/>
      <c r="L5" s="399"/>
      <c r="M5" s="399"/>
      <c r="N5" s="399"/>
      <c r="O5" s="399"/>
      <c r="P5" s="399"/>
      <c r="Q5" s="399"/>
      <c r="R5" s="399"/>
      <c r="S5" s="400"/>
    </row>
    <row r="6" spans="1:19" ht="15">
      <c r="A6" s="401" t="s">
        <v>425</v>
      </c>
      <c r="B6" s="402" t="s">
        <v>426</v>
      </c>
      <c r="C6" s="399"/>
      <c r="D6" s="399"/>
      <c r="E6" s="399"/>
      <c r="F6" s="399"/>
      <c r="G6" s="399"/>
      <c r="H6" s="399"/>
      <c r="I6" s="400"/>
      <c r="J6" s="397"/>
      <c r="K6" s="401"/>
      <c r="L6" s="402"/>
      <c r="M6" s="399"/>
      <c r="N6" s="399"/>
      <c r="O6" s="399"/>
      <c r="P6" s="399"/>
      <c r="Q6" s="399"/>
      <c r="R6" s="399"/>
      <c r="S6" s="400"/>
    </row>
    <row r="7" spans="1:19" ht="15">
      <c r="A7" s="401" t="s">
        <v>427</v>
      </c>
      <c r="B7" s="402" t="s">
        <v>428</v>
      </c>
      <c r="C7" s="399"/>
      <c r="D7" s="399"/>
      <c r="E7" s="399"/>
      <c r="F7" s="399"/>
      <c r="G7" s="399"/>
      <c r="H7" s="399"/>
      <c r="I7" s="400"/>
      <c r="J7" s="397"/>
      <c r="K7" s="401"/>
      <c r="L7" s="402"/>
      <c r="M7" s="399"/>
      <c r="N7" s="399"/>
      <c r="O7" s="399"/>
      <c r="P7" s="399"/>
      <c r="Q7" s="399"/>
      <c r="R7" s="399"/>
      <c r="S7" s="400"/>
    </row>
    <row r="8" spans="1:19" ht="15.75" thickBot="1">
      <c r="A8" s="398"/>
      <c r="B8" s="402"/>
      <c r="C8" s="399"/>
      <c r="D8" s="399"/>
      <c r="E8" s="399"/>
      <c r="F8" s="399"/>
      <c r="G8" s="399"/>
      <c r="H8" s="399"/>
      <c r="I8" s="400"/>
      <c r="J8" s="397"/>
      <c r="K8" s="398"/>
      <c r="L8" s="402"/>
      <c r="M8" s="399"/>
      <c r="N8" s="399"/>
      <c r="O8" s="399"/>
      <c r="P8" s="399"/>
      <c r="Q8" s="399"/>
      <c r="R8" s="399"/>
      <c r="S8" s="400"/>
    </row>
    <row r="9" spans="1:19" ht="15.75" thickBot="1">
      <c r="A9" s="697" t="s">
        <v>429</v>
      </c>
      <c r="B9" s="698"/>
      <c r="C9" s="698"/>
      <c r="D9" s="698"/>
      <c r="E9" s="698"/>
      <c r="F9" s="698"/>
      <c r="G9" s="698"/>
      <c r="H9" s="698"/>
      <c r="I9" s="699"/>
      <c r="J9" s="397"/>
      <c r="K9" s="674"/>
      <c r="L9" s="675"/>
      <c r="M9" s="675"/>
      <c r="N9" s="675"/>
      <c r="O9" s="675"/>
      <c r="P9" s="675"/>
      <c r="Q9" s="675"/>
      <c r="R9" s="675"/>
      <c r="S9" s="676"/>
    </row>
    <row r="10" spans="1:19" ht="15">
      <c r="A10" s="678" t="s">
        <v>430</v>
      </c>
      <c r="B10" s="679" t="s">
        <v>431</v>
      </c>
      <c r="C10" s="700" t="s">
        <v>432</v>
      </c>
      <c r="D10" s="700" t="s">
        <v>433</v>
      </c>
      <c r="E10" s="700" t="s">
        <v>434</v>
      </c>
      <c r="F10" s="403" t="s">
        <v>435</v>
      </c>
      <c r="G10" s="403"/>
      <c r="H10" s="403"/>
      <c r="I10" s="404" t="s">
        <v>436</v>
      </c>
      <c r="J10" s="397"/>
      <c r="K10" s="680"/>
      <c r="L10" s="667"/>
      <c r="M10" s="661"/>
      <c r="N10" s="661"/>
      <c r="O10" s="661"/>
      <c r="P10" s="405"/>
      <c r="Q10" s="406"/>
      <c r="R10" s="407"/>
      <c r="S10" s="408"/>
    </row>
    <row r="11" spans="1:19" ht="24">
      <c r="A11" s="678"/>
      <c r="B11" s="679"/>
      <c r="C11" s="700"/>
      <c r="D11" s="700"/>
      <c r="E11" s="700"/>
      <c r="F11" s="409" t="s">
        <v>437</v>
      </c>
      <c r="G11" s="409" t="s">
        <v>438</v>
      </c>
      <c r="H11" s="410" t="s">
        <v>439</v>
      </c>
      <c r="I11" s="404"/>
      <c r="J11" s="397"/>
      <c r="K11" s="681"/>
      <c r="L11" s="682"/>
      <c r="M11" s="662"/>
      <c r="N11" s="662"/>
      <c r="O11" s="662"/>
      <c r="P11" s="409"/>
      <c r="Q11" s="409"/>
      <c r="R11" s="411"/>
      <c r="S11" s="412"/>
    </row>
    <row r="12" spans="1:19" ht="15">
      <c r="A12" s="678"/>
      <c r="B12" s="679"/>
      <c r="C12" s="700"/>
      <c r="D12" s="700"/>
      <c r="E12" s="700"/>
      <c r="F12" s="413">
        <v>41821</v>
      </c>
      <c r="G12" s="413">
        <v>44317</v>
      </c>
      <c r="H12" s="410"/>
      <c r="I12" s="404" t="s">
        <v>440</v>
      </c>
      <c r="J12" s="397"/>
      <c r="K12" s="677"/>
      <c r="L12" s="668"/>
      <c r="M12" s="663"/>
      <c r="N12" s="663"/>
      <c r="O12" s="663"/>
      <c r="P12" s="413"/>
      <c r="Q12" s="413"/>
      <c r="R12" s="414"/>
      <c r="S12" s="404"/>
    </row>
    <row r="13" spans="1:19" ht="15">
      <c r="A13" s="415" t="s">
        <v>441</v>
      </c>
      <c r="B13" s="416"/>
      <c r="C13" s="416"/>
      <c r="D13" s="416"/>
      <c r="E13" s="417"/>
      <c r="F13" s="416"/>
      <c r="G13" s="416"/>
      <c r="H13" s="416"/>
      <c r="I13" s="418"/>
      <c r="J13" s="397"/>
      <c r="K13" s="419"/>
      <c r="L13" s="420"/>
      <c r="M13" s="420"/>
      <c r="N13" s="420"/>
      <c r="O13" s="421"/>
      <c r="P13" s="420"/>
      <c r="Q13" s="420"/>
      <c r="R13" s="420"/>
      <c r="S13" s="422"/>
    </row>
    <row r="14" spans="1:19" ht="15">
      <c r="A14" s="423" t="s">
        <v>442</v>
      </c>
      <c r="B14" s="424" t="s">
        <v>443</v>
      </c>
      <c r="C14" s="417">
        <v>29.8</v>
      </c>
      <c r="D14" s="417">
        <f>26.939+0.253*C14</f>
        <v>34.478400000000001</v>
      </c>
      <c r="E14" s="417"/>
      <c r="F14" s="417">
        <v>270.23700000000002</v>
      </c>
      <c r="G14" s="425">
        <v>399.11700000000002</v>
      </c>
      <c r="H14" s="426">
        <f>G14/F14</f>
        <v>1.4769147082005794</v>
      </c>
      <c r="I14" s="427">
        <f>TRUNC((D14*H14),2)</f>
        <v>50.92</v>
      </c>
      <c r="J14" s="397"/>
      <c r="K14" s="428"/>
      <c r="L14" s="429"/>
      <c r="M14" s="430"/>
      <c r="N14" s="421"/>
      <c r="O14" s="421"/>
      <c r="P14" s="421"/>
      <c r="Q14" s="425"/>
      <c r="R14" s="431"/>
      <c r="S14" s="432"/>
    </row>
    <row r="15" spans="1:19" ht="15">
      <c r="A15" s="423"/>
      <c r="B15" s="424"/>
      <c r="C15" s="417"/>
      <c r="D15" s="417"/>
      <c r="E15" s="417"/>
      <c r="F15" s="417"/>
      <c r="G15" s="425"/>
      <c r="H15" s="426"/>
      <c r="I15" s="427"/>
      <c r="J15" s="397"/>
      <c r="K15" s="428"/>
      <c r="L15" s="429"/>
      <c r="M15" s="430"/>
      <c r="N15" s="421"/>
      <c r="O15" s="421"/>
      <c r="P15" s="421"/>
      <c r="Q15" s="425"/>
      <c r="R15" s="431"/>
      <c r="S15" s="432"/>
    </row>
    <row r="16" spans="1:19" ht="15.75" thickBot="1">
      <c r="A16" s="423"/>
      <c r="B16" s="424"/>
      <c r="C16" s="417"/>
      <c r="D16" s="417"/>
      <c r="E16" s="417"/>
      <c r="F16" s="417"/>
      <c r="G16" s="417"/>
      <c r="H16" s="426"/>
      <c r="I16" s="433"/>
      <c r="J16" s="397"/>
      <c r="K16" s="428"/>
      <c r="L16" s="429"/>
      <c r="M16" s="421"/>
      <c r="N16" s="421"/>
      <c r="O16" s="434"/>
      <c r="P16" s="434"/>
      <c r="Q16" s="434"/>
      <c r="R16" s="431"/>
      <c r="S16" s="435"/>
    </row>
    <row r="17" spans="1:19" ht="15">
      <c r="A17" s="423"/>
      <c r="B17" s="424"/>
      <c r="C17" s="417"/>
      <c r="D17" s="417"/>
      <c r="E17" s="417"/>
      <c r="F17" s="417"/>
      <c r="G17" s="417"/>
      <c r="H17" s="426"/>
      <c r="I17" s="433"/>
      <c r="J17" s="397"/>
      <c r="K17" s="428"/>
      <c r="L17" s="429"/>
      <c r="M17" s="421"/>
      <c r="N17" s="436"/>
      <c r="O17" s="664"/>
      <c r="P17" s="667"/>
      <c r="Q17" s="669"/>
      <c r="R17" s="437"/>
      <c r="S17" s="435"/>
    </row>
    <row r="18" spans="1:19" ht="15">
      <c r="A18" s="423"/>
      <c r="B18" s="424"/>
      <c r="C18" s="417"/>
      <c r="D18" s="417"/>
      <c r="E18" s="417"/>
      <c r="F18" s="409" t="s">
        <v>437</v>
      </c>
      <c r="G18" s="409" t="s">
        <v>438</v>
      </c>
      <c r="H18" s="438"/>
      <c r="I18" s="439"/>
      <c r="J18" s="397"/>
      <c r="K18" s="428"/>
      <c r="L18" s="429"/>
      <c r="M18" s="421"/>
      <c r="N18" s="436"/>
      <c r="O18" s="665"/>
      <c r="P18" s="668"/>
      <c r="Q18" s="670"/>
      <c r="R18" s="440"/>
      <c r="S18" s="441"/>
    </row>
    <row r="19" spans="1:19" ht="15.75" thickBot="1">
      <c r="A19" s="442" t="s">
        <v>444</v>
      </c>
      <c r="B19" s="443" t="s">
        <v>445</v>
      </c>
      <c r="C19" s="444" t="s">
        <v>446</v>
      </c>
      <c r="D19" s="444"/>
      <c r="E19" s="417"/>
      <c r="F19" s="413">
        <v>44044</v>
      </c>
      <c r="G19" s="413">
        <v>44317</v>
      </c>
      <c r="H19" s="445"/>
      <c r="I19" s="446"/>
      <c r="J19" s="397"/>
      <c r="K19" s="447"/>
      <c r="L19" s="448"/>
      <c r="M19" s="449"/>
      <c r="N19" s="450"/>
      <c r="O19" s="666"/>
      <c r="P19" s="451"/>
      <c r="Q19" s="452"/>
      <c r="R19" s="453"/>
      <c r="S19" s="454"/>
    </row>
    <row r="20" spans="1:19" ht="15">
      <c r="A20" s="423"/>
      <c r="B20" s="455"/>
      <c r="C20" s="417"/>
      <c r="D20" s="417"/>
      <c r="E20" s="417"/>
      <c r="F20" s="417"/>
      <c r="G20" s="417"/>
      <c r="H20" s="426"/>
      <c r="I20" s="427"/>
      <c r="J20" s="397"/>
      <c r="K20" s="428"/>
      <c r="L20" s="456"/>
      <c r="M20" s="421"/>
      <c r="N20" s="421"/>
      <c r="O20" s="425"/>
      <c r="P20" s="425"/>
      <c r="Q20" s="425"/>
      <c r="R20" s="431"/>
      <c r="S20" s="432"/>
    </row>
    <row r="21" spans="1:19" ht="15">
      <c r="A21" s="423"/>
      <c r="B21" s="455"/>
      <c r="C21" s="417"/>
      <c r="D21" s="417"/>
      <c r="E21" s="417"/>
      <c r="F21" s="425"/>
      <c r="G21" s="425"/>
      <c r="H21" s="426"/>
      <c r="I21" s="427"/>
      <c r="J21" s="397"/>
      <c r="K21" s="428"/>
      <c r="L21" s="456"/>
      <c r="M21" s="421"/>
      <c r="N21" s="421"/>
      <c r="O21" s="421"/>
      <c r="P21" s="421"/>
      <c r="Q21" s="421"/>
      <c r="R21" s="431"/>
      <c r="S21" s="432"/>
    </row>
    <row r="22" spans="1:19" ht="15">
      <c r="A22" s="457"/>
      <c r="B22" s="455"/>
      <c r="C22" s="417"/>
      <c r="D22" s="417"/>
      <c r="E22" s="417"/>
      <c r="F22" s="417"/>
      <c r="G22" s="426"/>
      <c r="H22" s="458"/>
      <c r="I22" s="459"/>
      <c r="J22" s="397"/>
      <c r="K22" s="428"/>
      <c r="L22" s="456"/>
      <c r="M22" s="421"/>
      <c r="N22" s="421"/>
      <c r="O22" s="421"/>
      <c r="P22" s="421"/>
      <c r="Q22" s="460"/>
      <c r="R22" s="461"/>
      <c r="S22" s="462"/>
    </row>
    <row r="23" spans="1:19" ht="15">
      <c r="A23" s="423" t="s">
        <v>447</v>
      </c>
      <c r="B23" s="455"/>
      <c r="C23" s="417"/>
      <c r="D23" s="417"/>
      <c r="E23" s="417"/>
      <c r="F23" s="417"/>
      <c r="G23" s="426"/>
      <c r="H23" s="458"/>
      <c r="I23" s="459"/>
      <c r="J23" s="397"/>
      <c r="K23" s="428"/>
      <c r="L23" s="456"/>
      <c r="M23" s="421"/>
      <c r="N23" s="421"/>
      <c r="O23" s="421"/>
      <c r="P23" s="421"/>
      <c r="Q23" s="460"/>
      <c r="R23" s="461"/>
      <c r="S23" s="462"/>
    </row>
    <row r="24" spans="1:19" ht="15">
      <c r="A24" s="457"/>
      <c r="B24" s="416"/>
      <c r="C24" s="416"/>
      <c r="D24" s="416"/>
      <c r="E24" s="416"/>
      <c r="F24" s="416"/>
      <c r="G24" s="416"/>
      <c r="H24" s="416"/>
      <c r="I24" s="418"/>
      <c r="J24" s="397"/>
      <c r="K24" s="463"/>
      <c r="L24" s="464"/>
      <c r="M24" s="464"/>
      <c r="N24" s="464"/>
      <c r="O24" s="464"/>
      <c r="P24" s="464"/>
      <c r="Q24" s="465"/>
      <c r="R24" s="466"/>
      <c r="S24" s="467"/>
    </row>
    <row r="25" spans="1:19" ht="15.75" thickBot="1">
      <c r="A25" s="695" t="s">
        <v>14</v>
      </c>
      <c r="B25" s="696"/>
      <c r="C25" s="696"/>
      <c r="D25" s="696"/>
      <c r="E25" s="696"/>
      <c r="F25" s="696"/>
      <c r="G25" s="696"/>
      <c r="H25" s="416"/>
      <c r="I25" s="468">
        <f>SUM(I14:I21)</f>
        <v>50.92</v>
      </c>
      <c r="J25" s="397"/>
      <c r="K25" s="671"/>
      <c r="L25" s="672"/>
      <c r="M25" s="672"/>
      <c r="N25" s="672"/>
      <c r="O25" s="672"/>
      <c r="P25" s="672"/>
      <c r="Q25" s="673"/>
      <c r="R25" s="469"/>
      <c r="S25" s="470"/>
    </row>
    <row r="26" spans="1:19" ht="15.75" thickBot="1">
      <c r="A26" s="471"/>
      <c r="B26" s="472"/>
      <c r="C26" s="472"/>
      <c r="D26" s="472"/>
      <c r="E26" s="472"/>
      <c r="F26" s="472"/>
      <c r="G26" s="472"/>
      <c r="H26" s="472"/>
      <c r="I26" s="473"/>
      <c r="J26" s="397"/>
      <c r="K26" s="474"/>
      <c r="L26" s="475"/>
      <c r="M26" s="475"/>
      <c r="N26" s="475"/>
      <c r="O26" s="475"/>
      <c r="P26" s="475"/>
      <c r="Q26" s="475"/>
      <c r="R26" s="475"/>
      <c r="S26" s="476"/>
    </row>
    <row r="27" spans="1:19" ht="15">
      <c r="A27" s="477" t="s">
        <v>448</v>
      </c>
      <c r="B27" s="658" t="s">
        <v>449</v>
      </c>
      <c r="C27" s="659"/>
      <c r="D27" s="660"/>
      <c r="E27" s="472"/>
      <c r="F27" s="472"/>
      <c r="G27" s="472"/>
      <c r="H27" s="472"/>
      <c r="I27" s="473"/>
      <c r="J27" s="397"/>
      <c r="K27" s="477"/>
      <c r="L27" s="658"/>
      <c r="M27" s="659"/>
      <c r="N27" s="660"/>
      <c r="O27" s="472"/>
      <c r="P27" s="472"/>
      <c r="Q27" s="472"/>
      <c r="R27" s="472"/>
      <c r="S27" s="473"/>
    </row>
    <row r="28" spans="1:19" ht="15">
      <c r="A28" s="478" t="s">
        <v>442</v>
      </c>
      <c r="B28" s="648" t="s">
        <v>443</v>
      </c>
      <c r="C28" s="648"/>
      <c r="D28" s="649"/>
      <c r="E28" s="472"/>
      <c r="F28" s="472"/>
      <c r="G28" s="472"/>
      <c r="H28" s="472"/>
      <c r="I28" s="473"/>
      <c r="J28" s="397"/>
      <c r="K28" s="478"/>
      <c r="L28" s="650"/>
      <c r="M28" s="651"/>
      <c r="N28" s="652"/>
      <c r="O28" s="472"/>
      <c r="P28" s="472"/>
      <c r="Q28" s="472"/>
      <c r="R28" s="472"/>
      <c r="S28" s="473"/>
    </row>
    <row r="29" spans="1:19" ht="15">
      <c r="A29" s="478" t="s">
        <v>450</v>
      </c>
      <c r="B29" s="648" t="s">
        <v>451</v>
      </c>
      <c r="C29" s="648"/>
      <c r="D29" s="649"/>
      <c r="E29" s="472"/>
      <c r="F29" s="472"/>
      <c r="G29" s="472"/>
      <c r="H29" s="472"/>
      <c r="I29" s="479"/>
      <c r="J29" s="397"/>
      <c r="K29" s="478"/>
      <c r="L29" s="650"/>
      <c r="M29" s="651"/>
      <c r="N29" s="652"/>
      <c r="O29" s="472"/>
      <c r="P29" s="472"/>
      <c r="Q29" s="472"/>
      <c r="R29" s="472"/>
      <c r="S29" s="473"/>
    </row>
    <row r="30" spans="1:19" ht="15.75" thickBot="1">
      <c r="A30" s="480" t="s">
        <v>452</v>
      </c>
      <c r="B30" s="653" t="s">
        <v>453</v>
      </c>
      <c r="C30" s="653"/>
      <c r="D30" s="654"/>
      <c r="E30" s="472"/>
      <c r="F30" s="472"/>
      <c r="G30" s="472"/>
      <c r="H30" s="472"/>
      <c r="I30" s="473"/>
      <c r="J30" s="397"/>
      <c r="K30" s="480"/>
      <c r="L30" s="655"/>
      <c r="M30" s="656"/>
      <c r="N30" s="657"/>
      <c r="O30" s="472"/>
      <c r="P30" s="472"/>
      <c r="Q30" s="472"/>
      <c r="R30" s="472"/>
      <c r="S30" s="473"/>
    </row>
    <row r="31" spans="1:19" ht="15.75" thickBot="1">
      <c r="A31" s="481"/>
      <c r="B31" s="482"/>
      <c r="C31" s="482"/>
      <c r="D31" s="482"/>
      <c r="E31" s="482"/>
      <c r="F31" s="482"/>
      <c r="G31" s="482"/>
      <c r="H31" s="482"/>
      <c r="I31" s="483"/>
      <c r="J31" s="397"/>
      <c r="K31" s="481"/>
      <c r="L31" s="482"/>
      <c r="M31" s="482"/>
      <c r="N31" s="482"/>
      <c r="O31" s="482"/>
      <c r="P31" s="482"/>
      <c r="Q31" s="482"/>
      <c r="R31" s="482"/>
      <c r="S31" s="483"/>
    </row>
    <row r="32" spans="1:19" ht="15.75" thickBot="1">
      <c r="A32" s="397"/>
      <c r="B32" s="397"/>
      <c r="C32" s="397"/>
      <c r="D32" s="397"/>
      <c r="E32" s="397"/>
      <c r="F32" s="397"/>
      <c r="G32" s="397"/>
      <c r="H32" s="397"/>
      <c r="I32" s="397"/>
      <c r="J32" s="397"/>
      <c r="K32" s="397"/>
      <c r="L32" s="397"/>
      <c r="M32" s="397"/>
      <c r="N32" s="397"/>
      <c r="O32" s="397"/>
      <c r="P32" s="397"/>
      <c r="Q32" s="397"/>
      <c r="R32" s="397"/>
      <c r="S32" s="397"/>
    </row>
    <row r="33" spans="1:19" ht="15.75" thickBot="1">
      <c r="A33" s="692" t="s">
        <v>454</v>
      </c>
      <c r="B33" s="693"/>
      <c r="C33" s="693"/>
      <c r="D33" s="693"/>
      <c r="E33" s="693"/>
      <c r="F33" s="693"/>
      <c r="G33" s="693"/>
      <c r="H33" s="693"/>
      <c r="I33" s="694"/>
      <c r="J33" s="397"/>
      <c r="K33" s="397"/>
      <c r="L33" s="397"/>
      <c r="M33" s="397"/>
      <c r="N33" s="397"/>
      <c r="O33" s="397"/>
      <c r="P33" s="397"/>
      <c r="Q33" s="397"/>
      <c r="R33" s="397"/>
      <c r="S33" s="397"/>
    </row>
    <row r="34" spans="1:19" ht="15">
      <c r="A34" s="683" t="s">
        <v>422</v>
      </c>
      <c r="B34" s="684"/>
      <c r="C34" s="684"/>
      <c r="D34" s="684"/>
      <c r="E34" s="684"/>
      <c r="F34" s="684"/>
      <c r="G34" s="684"/>
      <c r="H34" s="684"/>
      <c r="I34" s="685"/>
      <c r="J34" s="397"/>
      <c r="K34" s="692" t="s">
        <v>454</v>
      </c>
      <c r="L34" s="693"/>
      <c r="M34" s="693"/>
      <c r="N34" s="693"/>
      <c r="O34" s="693"/>
      <c r="P34" s="693"/>
      <c r="Q34" s="693"/>
      <c r="R34" s="693"/>
      <c r="S34" s="694"/>
    </row>
    <row r="35" spans="1:19" ht="15.75" thickBot="1">
      <c r="A35" s="683" t="s">
        <v>423</v>
      </c>
      <c r="B35" s="684"/>
      <c r="C35" s="684"/>
      <c r="D35" s="684"/>
      <c r="E35" s="684"/>
      <c r="F35" s="684"/>
      <c r="G35" s="684"/>
      <c r="H35" s="684"/>
      <c r="I35" s="685"/>
      <c r="J35" s="397"/>
      <c r="K35" s="683" t="s">
        <v>422</v>
      </c>
      <c r="L35" s="684"/>
      <c r="M35" s="684"/>
      <c r="N35" s="684"/>
      <c r="O35" s="684"/>
      <c r="P35" s="684"/>
      <c r="Q35" s="684"/>
      <c r="R35" s="684"/>
      <c r="S35" s="685"/>
    </row>
    <row r="36" spans="1:19" ht="15.75" thickBot="1">
      <c r="A36" s="686" t="s">
        <v>455</v>
      </c>
      <c r="B36" s="687"/>
      <c r="C36" s="687"/>
      <c r="D36" s="687"/>
      <c r="E36" s="687"/>
      <c r="F36" s="687"/>
      <c r="G36" s="687"/>
      <c r="H36" s="687"/>
      <c r="I36" s="688"/>
      <c r="J36" s="397"/>
      <c r="K36" s="689" t="s">
        <v>423</v>
      </c>
      <c r="L36" s="690"/>
      <c r="M36" s="690"/>
      <c r="N36" s="690"/>
      <c r="O36" s="690"/>
      <c r="P36" s="690"/>
      <c r="Q36" s="690"/>
      <c r="R36" s="690"/>
      <c r="S36" s="691"/>
    </row>
    <row r="37" spans="1:19" ht="15.75" thickBot="1">
      <c r="A37" s="398"/>
      <c r="B37" s="399"/>
      <c r="C37" s="399"/>
      <c r="D37" s="399"/>
      <c r="E37" s="399"/>
      <c r="F37" s="399"/>
      <c r="G37" s="399"/>
      <c r="H37" s="399"/>
      <c r="I37" s="400"/>
      <c r="J37" s="397"/>
      <c r="K37" s="686" t="s">
        <v>456</v>
      </c>
      <c r="L37" s="687"/>
      <c r="M37" s="687"/>
      <c r="N37" s="687"/>
      <c r="O37" s="687"/>
      <c r="P37" s="687"/>
      <c r="Q37" s="687"/>
      <c r="R37" s="687"/>
      <c r="S37" s="688"/>
    </row>
    <row r="38" spans="1:19" ht="15">
      <c r="A38" s="401" t="s">
        <v>425</v>
      </c>
      <c r="B38" s="402" t="s">
        <v>457</v>
      </c>
      <c r="C38" s="399"/>
      <c r="D38" s="399"/>
      <c r="E38" s="399"/>
      <c r="F38" s="399"/>
      <c r="G38" s="399"/>
      <c r="H38" s="399"/>
      <c r="I38" s="400"/>
      <c r="J38" s="397"/>
      <c r="K38" s="398"/>
      <c r="L38" s="399"/>
      <c r="M38" s="399"/>
      <c r="N38" s="399"/>
      <c r="O38" s="399"/>
      <c r="P38" s="399"/>
      <c r="Q38" s="399"/>
      <c r="R38" s="399"/>
      <c r="S38" s="400"/>
    </row>
    <row r="39" spans="1:19" ht="15">
      <c r="A39" s="401" t="s">
        <v>427</v>
      </c>
      <c r="B39" s="402" t="s">
        <v>428</v>
      </c>
      <c r="C39" s="399"/>
      <c r="D39" s="399"/>
      <c r="E39" s="399"/>
      <c r="F39" s="399"/>
      <c r="G39" s="399"/>
      <c r="H39" s="399"/>
      <c r="I39" s="400"/>
      <c r="J39" s="397"/>
      <c r="K39" s="401" t="s">
        <v>425</v>
      </c>
      <c r="L39" s="402" t="s">
        <v>458</v>
      </c>
      <c r="M39" s="399"/>
      <c r="N39" s="399"/>
      <c r="O39" s="399"/>
      <c r="P39" s="399"/>
      <c r="Q39" s="399"/>
      <c r="R39" s="399"/>
      <c r="S39" s="400"/>
    </row>
    <row r="40" spans="1:19" ht="15.75" thickBot="1">
      <c r="A40" s="398"/>
      <c r="B40" s="402"/>
      <c r="C40" s="399"/>
      <c r="D40" s="399"/>
      <c r="E40" s="399"/>
      <c r="F40" s="399"/>
      <c r="G40" s="399"/>
      <c r="H40" s="399"/>
      <c r="I40" s="400"/>
      <c r="J40" s="397"/>
      <c r="K40" s="401" t="s">
        <v>427</v>
      </c>
      <c r="L40" s="402" t="s">
        <v>428</v>
      </c>
      <c r="M40" s="399"/>
      <c r="N40" s="399"/>
      <c r="O40" s="399"/>
      <c r="P40" s="399"/>
      <c r="Q40" s="399"/>
      <c r="R40" s="399"/>
      <c r="S40" s="400"/>
    </row>
    <row r="41" spans="1:19" ht="15.75" thickBot="1">
      <c r="A41" s="674" t="s">
        <v>429</v>
      </c>
      <c r="B41" s="675"/>
      <c r="C41" s="675"/>
      <c r="D41" s="675"/>
      <c r="E41" s="675"/>
      <c r="F41" s="675"/>
      <c r="G41" s="675"/>
      <c r="H41" s="675"/>
      <c r="I41" s="676"/>
      <c r="J41" s="397"/>
      <c r="K41" s="398"/>
      <c r="L41" s="402"/>
      <c r="M41" s="399"/>
      <c r="N41" s="399"/>
      <c r="O41" s="399"/>
      <c r="P41" s="399"/>
      <c r="Q41" s="399"/>
      <c r="R41" s="399"/>
      <c r="S41" s="400"/>
    </row>
    <row r="42" spans="1:19" ht="15.75" thickBot="1">
      <c r="A42" s="677" t="s">
        <v>430</v>
      </c>
      <c r="B42" s="668" t="s">
        <v>431</v>
      </c>
      <c r="C42" s="661" t="s">
        <v>432</v>
      </c>
      <c r="D42" s="661" t="s">
        <v>433</v>
      </c>
      <c r="E42" s="661" t="s">
        <v>459</v>
      </c>
      <c r="F42" s="405" t="s">
        <v>435</v>
      </c>
      <c r="G42" s="406"/>
      <c r="H42" s="407"/>
      <c r="I42" s="408" t="s">
        <v>436</v>
      </c>
      <c r="J42" s="397"/>
      <c r="K42" s="674" t="s">
        <v>429</v>
      </c>
      <c r="L42" s="675"/>
      <c r="M42" s="675"/>
      <c r="N42" s="675"/>
      <c r="O42" s="675"/>
      <c r="P42" s="675"/>
      <c r="Q42" s="675"/>
      <c r="R42" s="675"/>
      <c r="S42" s="676"/>
    </row>
    <row r="43" spans="1:19" ht="24">
      <c r="A43" s="678"/>
      <c r="B43" s="679"/>
      <c r="C43" s="662"/>
      <c r="D43" s="662"/>
      <c r="E43" s="662"/>
      <c r="F43" s="409" t="s">
        <v>437</v>
      </c>
      <c r="G43" s="409" t="s">
        <v>438</v>
      </c>
      <c r="H43" s="411" t="s">
        <v>439</v>
      </c>
      <c r="I43" s="412"/>
      <c r="J43" s="397"/>
      <c r="K43" s="680" t="s">
        <v>430</v>
      </c>
      <c r="L43" s="667" t="s">
        <v>431</v>
      </c>
      <c r="M43" s="661" t="s">
        <v>432</v>
      </c>
      <c r="N43" s="661" t="s">
        <v>433</v>
      </c>
      <c r="O43" s="661" t="s">
        <v>459</v>
      </c>
      <c r="P43" s="405" t="s">
        <v>435</v>
      </c>
      <c r="Q43" s="406"/>
      <c r="R43" s="407"/>
      <c r="S43" s="408" t="s">
        <v>436</v>
      </c>
    </row>
    <row r="44" spans="1:19" ht="24">
      <c r="A44" s="678"/>
      <c r="B44" s="679"/>
      <c r="C44" s="663"/>
      <c r="D44" s="663"/>
      <c r="E44" s="663"/>
      <c r="F44" s="413">
        <v>41821</v>
      </c>
      <c r="G44" s="413">
        <v>44317</v>
      </c>
      <c r="H44" s="414"/>
      <c r="I44" s="404" t="s">
        <v>440</v>
      </c>
      <c r="J44" s="397"/>
      <c r="K44" s="681"/>
      <c r="L44" s="682"/>
      <c r="M44" s="662"/>
      <c r="N44" s="662"/>
      <c r="O44" s="662"/>
      <c r="P44" s="409" t="s">
        <v>437</v>
      </c>
      <c r="Q44" s="409" t="s">
        <v>438</v>
      </c>
      <c r="R44" s="411" t="s">
        <v>439</v>
      </c>
      <c r="S44" s="412"/>
    </row>
    <row r="45" spans="1:19" ht="15">
      <c r="A45" s="419"/>
      <c r="B45" s="420"/>
      <c r="C45" s="420"/>
      <c r="D45" s="420"/>
      <c r="E45" s="421"/>
      <c r="F45" s="420"/>
      <c r="G45" s="420"/>
      <c r="H45" s="420"/>
      <c r="I45" s="422"/>
      <c r="J45" s="397"/>
      <c r="K45" s="677"/>
      <c r="L45" s="668"/>
      <c r="M45" s="663"/>
      <c r="N45" s="663"/>
      <c r="O45" s="663"/>
      <c r="P45" s="413">
        <v>41821</v>
      </c>
      <c r="Q45" s="413">
        <v>44317</v>
      </c>
      <c r="R45" s="414"/>
      <c r="S45" s="404" t="s">
        <v>440</v>
      </c>
    </row>
    <row r="46" spans="1:19" ht="15">
      <c r="A46" s="463" t="s">
        <v>442</v>
      </c>
      <c r="B46" s="429" t="s">
        <v>443</v>
      </c>
      <c r="C46" s="430">
        <v>1555</v>
      </c>
      <c r="D46" s="421">
        <f>26.939+0.253*C46</f>
        <v>420.35400000000004</v>
      </c>
      <c r="E46" s="421">
        <f>D46/(1-0.17)</f>
        <v>506.45060240963863</v>
      </c>
      <c r="F46" s="421">
        <v>270.23700000000002</v>
      </c>
      <c r="G46" s="425">
        <v>399.11700000000002</v>
      </c>
      <c r="H46" s="431">
        <f>G46/F46</f>
        <v>1.4769147082005794</v>
      </c>
      <c r="I46" s="432">
        <f>TRUNC((E46*H46),2)</f>
        <v>747.98</v>
      </c>
      <c r="J46" s="397"/>
      <c r="K46" s="419"/>
      <c r="L46" s="420"/>
      <c r="M46" s="420"/>
      <c r="N46" s="420"/>
      <c r="O46" s="421"/>
      <c r="P46" s="420"/>
      <c r="Q46" s="420"/>
      <c r="R46" s="420"/>
      <c r="S46" s="422"/>
    </row>
    <row r="47" spans="1:19" ht="15">
      <c r="A47" s="463"/>
      <c r="B47" s="429"/>
      <c r="C47" s="430"/>
      <c r="D47" s="421"/>
      <c r="E47" s="421"/>
      <c r="F47" s="421"/>
      <c r="G47" s="425"/>
      <c r="H47" s="431"/>
      <c r="I47" s="432"/>
      <c r="J47" s="397"/>
      <c r="K47" s="463" t="s">
        <v>442</v>
      </c>
      <c r="L47" s="429" t="s">
        <v>443</v>
      </c>
      <c r="M47" s="430">
        <v>1437</v>
      </c>
      <c r="N47" s="421">
        <f>26.939+0.253*M47</f>
        <v>390.5</v>
      </c>
      <c r="O47" s="421">
        <f>N47/(1-0.17)</f>
        <v>470.48192771084342</v>
      </c>
      <c r="P47" s="421">
        <v>270.23700000000002</v>
      </c>
      <c r="Q47" s="425">
        <v>399.11700000000002</v>
      </c>
      <c r="R47" s="431">
        <f>Q47/P47</f>
        <v>1.4769147082005794</v>
      </c>
      <c r="S47" s="432">
        <f>TRUNC((O47*R47),2)</f>
        <v>694.86</v>
      </c>
    </row>
    <row r="48" spans="1:19" ht="15.75" thickBot="1">
      <c r="A48" s="463"/>
      <c r="B48" s="429"/>
      <c r="C48" s="421"/>
      <c r="D48" s="421"/>
      <c r="E48" s="434"/>
      <c r="F48" s="434"/>
      <c r="G48" s="434"/>
      <c r="H48" s="431"/>
      <c r="I48" s="435"/>
      <c r="J48" s="397"/>
      <c r="K48" s="463"/>
      <c r="L48" s="429"/>
      <c r="M48" s="430"/>
      <c r="N48" s="421"/>
      <c r="O48" s="421"/>
      <c r="P48" s="421"/>
      <c r="Q48" s="425"/>
      <c r="R48" s="431"/>
      <c r="S48" s="432"/>
    </row>
    <row r="49" spans="1:19" ht="15.75" thickBot="1">
      <c r="A49" s="463"/>
      <c r="B49" s="429"/>
      <c r="C49" s="421"/>
      <c r="D49" s="436"/>
      <c r="E49" s="664" t="s">
        <v>460</v>
      </c>
      <c r="F49" s="667" t="s">
        <v>437</v>
      </c>
      <c r="G49" s="669" t="s">
        <v>438</v>
      </c>
      <c r="H49" s="437"/>
      <c r="I49" s="435"/>
      <c r="J49" s="397"/>
      <c r="K49" s="463"/>
      <c r="L49" s="429"/>
      <c r="M49" s="421"/>
      <c r="N49" s="421"/>
      <c r="O49" s="434"/>
      <c r="P49" s="434"/>
      <c r="Q49" s="434"/>
      <c r="R49" s="431"/>
      <c r="S49" s="435"/>
    </row>
    <row r="50" spans="1:19" ht="15">
      <c r="A50" s="463"/>
      <c r="B50" s="429"/>
      <c r="C50" s="421"/>
      <c r="D50" s="436"/>
      <c r="E50" s="665"/>
      <c r="F50" s="668"/>
      <c r="G50" s="670"/>
      <c r="H50" s="440"/>
      <c r="I50" s="441"/>
      <c r="J50" s="397"/>
      <c r="K50" s="463"/>
      <c r="L50" s="429"/>
      <c r="M50" s="421"/>
      <c r="N50" s="436"/>
      <c r="O50" s="664" t="s">
        <v>460</v>
      </c>
      <c r="P50" s="667" t="s">
        <v>437</v>
      </c>
      <c r="Q50" s="669" t="s">
        <v>438</v>
      </c>
      <c r="R50" s="437"/>
      <c r="S50" s="435"/>
    </row>
    <row r="51" spans="1:19" ht="15.75" thickBot="1">
      <c r="A51" s="484" t="s">
        <v>444</v>
      </c>
      <c r="B51" s="448" t="s">
        <v>445</v>
      </c>
      <c r="C51" s="449" t="s">
        <v>446</v>
      </c>
      <c r="D51" s="450"/>
      <c r="E51" s="666"/>
      <c r="F51" s="451">
        <v>44075</v>
      </c>
      <c r="G51" s="413">
        <v>44317</v>
      </c>
      <c r="H51" s="453"/>
      <c r="I51" s="454"/>
      <c r="J51" s="397"/>
      <c r="K51" s="463"/>
      <c r="L51" s="429"/>
      <c r="M51" s="421"/>
      <c r="N51" s="436"/>
      <c r="O51" s="665"/>
      <c r="P51" s="668"/>
      <c r="Q51" s="670"/>
      <c r="R51" s="440"/>
      <c r="S51" s="441"/>
    </row>
    <row r="52" spans="1:19" ht="15.75" thickBot="1">
      <c r="A52" s="463" t="s">
        <v>461</v>
      </c>
      <c r="B52" s="456">
        <v>5.0999999999999996</v>
      </c>
      <c r="C52" s="421">
        <v>5</v>
      </c>
      <c r="D52" s="421">
        <f>B52*C52</f>
        <v>25.5</v>
      </c>
      <c r="E52" s="425">
        <f>D52/25</f>
        <v>1.02</v>
      </c>
      <c r="F52" s="425">
        <v>365.25700000000001</v>
      </c>
      <c r="G52" s="425">
        <v>399.11700000000002</v>
      </c>
      <c r="H52" s="431">
        <f>G52/F52</f>
        <v>1.0927018510254425</v>
      </c>
      <c r="I52" s="432">
        <f>TRUNC((E52*H52),2)</f>
        <v>1.1100000000000001</v>
      </c>
      <c r="J52" s="397"/>
      <c r="K52" s="484" t="s">
        <v>444</v>
      </c>
      <c r="L52" s="448" t="s">
        <v>445</v>
      </c>
      <c r="M52" s="449" t="s">
        <v>446</v>
      </c>
      <c r="N52" s="450"/>
      <c r="O52" s="666"/>
      <c r="P52" s="413">
        <v>41821</v>
      </c>
      <c r="Q52" s="413">
        <v>44317</v>
      </c>
      <c r="R52" s="453"/>
      <c r="S52" s="454"/>
    </row>
    <row r="53" spans="1:19" ht="15">
      <c r="A53" s="463" t="s">
        <v>462</v>
      </c>
      <c r="B53" s="456">
        <v>4.0999999999999996</v>
      </c>
      <c r="C53" s="421">
        <v>5</v>
      </c>
      <c r="D53" s="421">
        <f>B53*C53</f>
        <v>20.5</v>
      </c>
      <c r="E53" s="425">
        <f>D53/25</f>
        <v>0.82</v>
      </c>
      <c r="F53" s="425">
        <v>365.25700000000001</v>
      </c>
      <c r="G53" s="425">
        <v>399.11700000000002</v>
      </c>
      <c r="H53" s="431">
        <f>G53/F53</f>
        <v>1.0927018510254425</v>
      </c>
      <c r="I53" s="432">
        <f>TRUNC((E53*H53),2)</f>
        <v>0.89</v>
      </c>
      <c r="J53" s="397"/>
      <c r="K53" s="463" t="s">
        <v>461</v>
      </c>
      <c r="L53" s="456">
        <v>5.0999999999999996</v>
      </c>
      <c r="M53" s="421">
        <v>5</v>
      </c>
      <c r="N53" s="421">
        <f>L53*M53</f>
        <v>25.5</v>
      </c>
      <c r="O53" s="425">
        <f>N53/25</f>
        <v>1.02</v>
      </c>
      <c r="P53" s="425">
        <v>365.25700000000001</v>
      </c>
      <c r="Q53" s="425">
        <v>399.11700000000002</v>
      </c>
      <c r="R53" s="431">
        <f>Q53/P53</f>
        <v>1.0927018510254425</v>
      </c>
      <c r="S53" s="432">
        <f>TRUNC((O53*R53),2)</f>
        <v>1.1100000000000001</v>
      </c>
    </row>
    <row r="54" spans="1:19" ht="15">
      <c r="A54" s="463" t="s">
        <v>463</v>
      </c>
      <c r="B54" s="456">
        <v>4.0999999999999996</v>
      </c>
      <c r="C54" s="421">
        <v>5</v>
      </c>
      <c r="D54" s="421">
        <f>B54*C54</f>
        <v>20.5</v>
      </c>
      <c r="E54" s="425">
        <f>D54/25</f>
        <v>0.82</v>
      </c>
      <c r="F54" s="425">
        <v>365.25700000000001</v>
      </c>
      <c r="G54" s="425">
        <v>399.11700000000002</v>
      </c>
      <c r="H54" s="431">
        <f>G54/F54</f>
        <v>1.0927018510254425</v>
      </c>
      <c r="I54" s="432">
        <f>TRUNC((E54*H54),2)</f>
        <v>0.89</v>
      </c>
      <c r="J54" s="397"/>
      <c r="K54" s="463" t="s">
        <v>462</v>
      </c>
      <c r="L54" s="456">
        <v>4.0999999999999996</v>
      </c>
      <c r="M54" s="421">
        <v>5</v>
      </c>
      <c r="N54" s="421">
        <f>L54*M54</f>
        <v>20.5</v>
      </c>
      <c r="O54" s="425">
        <f>N54/25</f>
        <v>0.82</v>
      </c>
      <c r="P54" s="425">
        <v>365.25700000000001</v>
      </c>
      <c r="Q54" s="425">
        <v>399.11700000000002</v>
      </c>
      <c r="R54" s="431">
        <f>Q54/P54</f>
        <v>1.0927018510254425</v>
      </c>
      <c r="S54" s="432">
        <f>TRUNC((O54*R54),2)</f>
        <v>0.89</v>
      </c>
    </row>
    <row r="55" spans="1:19" ht="15">
      <c r="A55" s="463"/>
      <c r="B55" s="456"/>
      <c r="C55" s="421"/>
      <c r="D55" s="421"/>
      <c r="E55" s="425"/>
      <c r="F55" s="425"/>
      <c r="G55" s="425"/>
      <c r="H55" s="431"/>
      <c r="I55" s="432"/>
      <c r="J55" s="397"/>
      <c r="K55" s="463" t="s">
        <v>463</v>
      </c>
      <c r="L55" s="456">
        <v>4.0999999999999996</v>
      </c>
      <c r="M55" s="421">
        <v>5</v>
      </c>
      <c r="N55" s="421">
        <f>L55*M55</f>
        <v>20.5</v>
      </c>
      <c r="O55" s="425">
        <f>N55/25</f>
        <v>0.82</v>
      </c>
      <c r="P55" s="425">
        <v>365.25700000000001</v>
      </c>
      <c r="Q55" s="425">
        <v>399.11700000000002</v>
      </c>
      <c r="R55" s="431">
        <f>Q55/P55</f>
        <v>1.0927018510254425</v>
      </c>
      <c r="S55" s="432">
        <f>TRUNC((O55*R55),2)</f>
        <v>0.89</v>
      </c>
    </row>
    <row r="56" spans="1:19" ht="15">
      <c r="A56" s="463"/>
      <c r="B56" s="456"/>
      <c r="C56" s="421"/>
      <c r="D56" s="421"/>
      <c r="E56" s="425"/>
      <c r="F56" s="425"/>
      <c r="G56" s="425"/>
      <c r="H56" s="431"/>
      <c r="I56" s="432"/>
      <c r="J56" s="397"/>
      <c r="K56" s="463"/>
      <c r="L56" s="456"/>
      <c r="M56" s="421"/>
      <c r="N56" s="421"/>
      <c r="O56" s="425"/>
      <c r="P56" s="425"/>
      <c r="Q56" s="425"/>
      <c r="R56" s="431"/>
      <c r="S56" s="432"/>
    </row>
    <row r="57" spans="1:19" ht="15">
      <c r="A57" s="463"/>
      <c r="B57" s="456"/>
      <c r="C57" s="421"/>
      <c r="D57" s="421"/>
      <c r="E57" s="421"/>
      <c r="F57" s="425"/>
      <c r="G57" s="425"/>
      <c r="H57" s="431"/>
      <c r="I57" s="432"/>
      <c r="J57" s="397"/>
      <c r="K57" s="463"/>
      <c r="L57" s="456"/>
      <c r="M57" s="421"/>
      <c r="N57" s="421"/>
      <c r="O57" s="425"/>
      <c r="P57" s="425"/>
      <c r="Q57" s="425"/>
      <c r="R57" s="431"/>
      <c r="S57" s="432"/>
    </row>
    <row r="58" spans="1:19" ht="15">
      <c r="A58" s="463"/>
      <c r="B58" s="456"/>
      <c r="C58" s="421"/>
      <c r="D58" s="421"/>
      <c r="E58" s="421"/>
      <c r="F58" s="421"/>
      <c r="G58" s="460"/>
      <c r="H58" s="461"/>
      <c r="I58" s="462"/>
      <c r="J58" s="397"/>
      <c r="K58" s="463"/>
      <c r="L58" s="456"/>
      <c r="M58" s="421"/>
      <c r="N58" s="421"/>
      <c r="O58" s="421"/>
      <c r="P58" s="425"/>
      <c r="Q58" s="425"/>
      <c r="R58" s="431"/>
      <c r="S58" s="432"/>
    </row>
    <row r="59" spans="1:19" ht="15">
      <c r="A59" s="463" t="s">
        <v>447</v>
      </c>
      <c r="B59" s="456"/>
      <c r="C59" s="421"/>
      <c r="D59" s="421"/>
      <c r="E59" s="421"/>
      <c r="F59" s="421"/>
      <c r="G59" s="460"/>
      <c r="H59" s="461"/>
      <c r="I59" s="462"/>
      <c r="J59" s="397"/>
      <c r="K59" s="463"/>
      <c r="L59" s="456"/>
      <c r="M59" s="421"/>
      <c r="N59" s="421"/>
      <c r="O59" s="421"/>
      <c r="P59" s="421"/>
      <c r="Q59" s="460"/>
      <c r="R59" s="461"/>
      <c r="S59" s="462"/>
    </row>
    <row r="60" spans="1:19" ht="15">
      <c r="A60" s="463"/>
      <c r="B60" s="464"/>
      <c r="C60" s="464"/>
      <c r="D60" s="464"/>
      <c r="E60" s="464"/>
      <c r="F60" s="464"/>
      <c r="G60" s="465"/>
      <c r="H60" s="466"/>
      <c r="I60" s="467"/>
      <c r="J60" s="397"/>
      <c r="K60" s="463" t="s">
        <v>447</v>
      </c>
      <c r="L60" s="456"/>
      <c r="M60" s="421"/>
      <c r="N60" s="421"/>
      <c r="O60" s="421"/>
      <c r="P60" s="421"/>
      <c r="Q60" s="460"/>
      <c r="R60" s="461"/>
      <c r="S60" s="462"/>
    </row>
    <row r="61" spans="1:19" ht="15.75" thickBot="1">
      <c r="A61" s="671" t="s">
        <v>14</v>
      </c>
      <c r="B61" s="672"/>
      <c r="C61" s="672"/>
      <c r="D61" s="672"/>
      <c r="E61" s="672"/>
      <c r="F61" s="672"/>
      <c r="G61" s="673"/>
      <c r="H61" s="469"/>
      <c r="I61" s="470">
        <f>SUM(I46:I57)</f>
        <v>750.87</v>
      </c>
      <c r="J61" s="397"/>
      <c r="K61" s="463"/>
      <c r="L61" s="464"/>
      <c r="M61" s="464"/>
      <c r="N61" s="464"/>
      <c r="O61" s="464"/>
      <c r="P61" s="464"/>
      <c r="Q61" s="465"/>
      <c r="R61" s="466"/>
      <c r="S61" s="467"/>
    </row>
    <row r="62" spans="1:19" ht="15.75" thickBot="1">
      <c r="A62" s="474"/>
      <c r="B62" s="475"/>
      <c r="C62" s="475"/>
      <c r="D62" s="475"/>
      <c r="E62" s="475"/>
      <c r="F62" s="475"/>
      <c r="G62" s="475"/>
      <c r="H62" s="475"/>
      <c r="I62" s="476"/>
      <c r="J62" s="397"/>
      <c r="K62" s="671" t="s">
        <v>14</v>
      </c>
      <c r="L62" s="672"/>
      <c r="M62" s="672"/>
      <c r="N62" s="672"/>
      <c r="O62" s="672"/>
      <c r="P62" s="672"/>
      <c r="Q62" s="673"/>
      <c r="R62" s="469"/>
      <c r="S62" s="470">
        <f>SUM(S47:S58)</f>
        <v>697.75</v>
      </c>
    </row>
    <row r="63" spans="1:19" ht="15.75" thickBot="1">
      <c r="A63" s="477" t="s">
        <v>448</v>
      </c>
      <c r="B63" s="658" t="s">
        <v>449</v>
      </c>
      <c r="C63" s="659"/>
      <c r="D63" s="660"/>
      <c r="E63" s="472"/>
      <c r="F63" s="472"/>
      <c r="G63" s="472"/>
      <c r="H63" s="472"/>
      <c r="I63" s="473"/>
      <c r="J63" s="397"/>
      <c r="K63" s="474"/>
      <c r="L63" s="475"/>
      <c r="M63" s="475"/>
      <c r="N63" s="475"/>
      <c r="O63" s="475"/>
      <c r="P63" s="475"/>
      <c r="Q63" s="475"/>
      <c r="R63" s="475"/>
      <c r="S63" s="476"/>
    </row>
    <row r="64" spans="1:19" ht="15">
      <c r="A64" s="478" t="s">
        <v>442</v>
      </c>
      <c r="B64" s="648" t="s">
        <v>443</v>
      </c>
      <c r="C64" s="648"/>
      <c r="D64" s="649"/>
      <c r="E64" s="472"/>
      <c r="F64" s="472"/>
      <c r="G64" s="472"/>
      <c r="H64" s="472"/>
      <c r="I64" s="473"/>
      <c r="J64" s="397"/>
      <c r="K64" s="477" t="s">
        <v>448</v>
      </c>
      <c r="L64" s="658" t="s">
        <v>449</v>
      </c>
      <c r="M64" s="659"/>
      <c r="N64" s="660"/>
      <c r="O64" s="472"/>
      <c r="P64" s="472"/>
      <c r="Q64" s="472"/>
      <c r="R64" s="472"/>
      <c r="S64" s="473"/>
    </row>
    <row r="65" spans="1:19" ht="15">
      <c r="A65" s="478" t="s">
        <v>450</v>
      </c>
      <c r="B65" s="648" t="s">
        <v>451</v>
      </c>
      <c r="C65" s="648"/>
      <c r="D65" s="649"/>
      <c r="E65" s="472"/>
      <c r="F65" s="472"/>
      <c r="G65" s="472"/>
      <c r="H65" s="472"/>
      <c r="I65" s="473"/>
      <c r="J65" s="397"/>
      <c r="K65" s="478" t="s">
        <v>442</v>
      </c>
      <c r="L65" s="650" t="s">
        <v>443</v>
      </c>
      <c r="M65" s="651"/>
      <c r="N65" s="652"/>
      <c r="O65" s="472"/>
      <c r="P65" s="472"/>
      <c r="Q65" s="472"/>
      <c r="R65" s="472"/>
      <c r="S65" s="473"/>
    </row>
    <row r="66" spans="1:19" ht="15.75" thickBot="1">
      <c r="A66" s="480" t="s">
        <v>452</v>
      </c>
      <c r="B66" s="653" t="s">
        <v>453</v>
      </c>
      <c r="C66" s="653"/>
      <c r="D66" s="654"/>
      <c r="E66" s="472"/>
      <c r="F66" s="472"/>
      <c r="G66" s="472"/>
      <c r="H66" s="472"/>
      <c r="I66" s="473"/>
      <c r="J66" s="397"/>
      <c r="K66" s="478" t="s">
        <v>450</v>
      </c>
      <c r="L66" s="650" t="s">
        <v>451</v>
      </c>
      <c r="M66" s="651"/>
      <c r="N66" s="652"/>
      <c r="O66" s="472"/>
      <c r="P66" s="472"/>
      <c r="Q66" s="472"/>
      <c r="R66" s="472"/>
      <c r="S66" s="473"/>
    </row>
    <row r="67" spans="1:19" ht="15.75" thickBot="1">
      <c r="A67" s="481"/>
      <c r="B67" s="482"/>
      <c r="C67" s="482"/>
      <c r="D67" s="482"/>
      <c r="E67" s="482"/>
      <c r="F67" s="482"/>
      <c r="G67" s="482"/>
      <c r="H67" s="482"/>
      <c r="I67" s="483"/>
      <c r="J67" s="397"/>
      <c r="K67" s="480" t="s">
        <v>452</v>
      </c>
      <c r="L67" s="655" t="s">
        <v>453</v>
      </c>
      <c r="M67" s="656"/>
      <c r="N67" s="657"/>
      <c r="O67" s="472"/>
      <c r="P67" s="472"/>
      <c r="Q67" s="472"/>
      <c r="R67" s="472"/>
      <c r="S67" s="473"/>
    </row>
    <row r="68" spans="1:19" ht="15.75" thickBot="1">
      <c r="A68" s="397"/>
      <c r="B68" s="397"/>
      <c r="C68" s="397"/>
      <c r="D68" s="397"/>
      <c r="E68" s="397"/>
      <c r="F68" s="397"/>
      <c r="G68" s="397"/>
      <c r="H68" s="397"/>
      <c r="I68" s="397"/>
      <c r="J68" s="397"/>
      <c r="K68" s="481"/>
      <c r="L68" s="482"/>
      <c r="M68" s="482"/>
      <c r="N68" s="482"/>
      <c r="O68" s="482"/>
      <c r="P68" s="482"/>
      <c r="Q68" s="482"/>
      <c r="R68" s="482"/>
      <c r="S68" s="483"/>
    </row>
  </sheetData>
  <mergeCells count="69">
    <mergeCell ref="A1:I1"/>
    <mergeCell ref="K1:S1"/>
    <mergeCell ref="A2:I2"/>
    <mergeCell ref="K2:S2"/>
    <mergeCell ref="A3:I3"/>
    <mergeCell ref="K3:S3"/>
    <mergeCell ref="A4:I4"/>
    <mergeCell ref="K4:S4"/>
    <mergeCell ref="A9:I9"/>
    <mergeCell ref="K9:S9"/>
    <mergeCell ref="A10:A12"/>
    <mergeCell ref="B10:B12"/>
    <mergeCell ref="C10:C12"/>
    <mergeCell ref="D10:D12"/>
    <mergeCell ref="E10:E12"/>
    <mergeCell ref="K10:K12"/>
    <mergeCell ref="L10:L12"/>
    <mergeCell ref="M10:M12"/>
    <mergeCell ref="N10:N12"/>
    <mergeCell ref="O10:O12"/>
    <mergeCell ref="O17:O19"/>
    <mergeCell ref="P17:P18"/>
    <mergeCell ref="Q17:Q18"/>
    <mergeCell ref="A25:G25"/>
    <mergeCell ref="K25:Q25"/>
    <mergeCell ref="B27:D27"/>
    <mergeCell ref="L27:N27"/>
    <mergeCell ref="B28:D28"/>
    <mergeCell ref="L28:N28"/>
    <mergeCell ref="B29:D29"/>
    <mergeCell ref="L29:N29"/>
    <mergeCell ref="B30:D30"/>
    <mergeCell ref="L30:N30"/>
    <mergeCell ref="A33:I33"/>
    <mergeCell ref="A34:I34"/>
    <mergeCell ref="K34:S34"/>
    <mergeCell ref="A35:I35"/>
    <mergeCell ref="K35:S35"/>
    <mergeCell ref="A36:I36"/>
    <mergeCell ref="K36:S36"/>
    <mergeCell ref="K37:S37"/>
    <mergeCell ref="A41:I41"/>
    <mergeCell ref="P50:P51"/>
    <mergeCell ref="A42:A44"/>
    <mergeCell ref="B42:B44"/>
    <mergeCell ref="C42:C44"/>
    <mergeCell ref="D42:D44"/>
    <mergeCell ref="E42:E44"/>
    <mergeCell ref="K42:S42"/>
    <mergeCell ref="K43:K45"/>
    <mergeCell ref="L43:L45"/>
    <mergeCell ref="M43:M45"/>
    <mergeCell ref="Q50:Q51"/>
    <mergeCell ref="L64:N64"/>
    <mergeCell ref="O43:O45"/>
    <mergeCell ref="E49:E51"/>
    <mergeCell ref="F49:F50"/>
    <mergeCell ref="G49:G50"/>
    <mergeCell ref="O50:O52"/>
    <mergeCell ref="N43:N45"/>
    <mergeCell ref="A61:G61"/>
    <mergeCell ref="K62:Q62"/>
    <mergeCell ref="B63:D63"/>
    <mergeCell ref="B64:D64"/>
    <mergeCell ref="B65:D65"/>
    <mergeCell ref="L65:N65"/>
    <mergeCell ref="B66:D66"/>
    <mergeCell ref="L66:N66"/>
    <mergeCell ref="L67:N67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8"/>
  <sheetViews>
    <sheetView workbookViewId="0">
      <selection activeCell="C14" sqref="A1:IV65536"/>
    </sheetView>
  </sheetViews>
  <sheetFormatPr defaultRowHeight="12.75"/>
  <cols>
    <col min="1" max="1" width="28" customWidth="1"/>
    <col min="2" max="2" width="16.7109375" customWidth="1"/>
    <col min="3" max="3" width="11.28515625" bestFit="1" customWidth="1"/>
    <col min="4" max="4" width="10.42578125" bestFit="1" customWidth="1"/>
    <col min="5" max="5" width="18.42578125" customWidth="1"/>
    <col min="6" max="6" width="13.42578125" bestFit="1" customWidth="1"/>
    <col min="7" max="7" width="7.42578125" bestFit="1" customWidth="1"/>
    <col min="8" max="8" width="8.140625" bestFit="1" customWidth="1"/>
    <col min="9" max="9" width="13.140625" customWidth="1"/>
    <col min="11" max="11" width="28.7109375" customWidth="1"/>
    <col min="12" max="12" width="15.42578125" customWidth="1"/>
    <col min="13" max="13" width="11.28515625" bestFit="1" customWidth="1"/>
    <col min="14" max="14" width="10.42578125" bestFit="1" customWidth="1"/>
    <col min="15" max="15" width="18.42578125" customWidth="1"/>
    <col min="16" max="16" width="13.42578125" bestFit="1" customWidth="1"/>
    <col min="17" max="17" width="7.42578125" bestFit="1" customWidth="1"/>
    <col min="18" max="18" width="8.140625" bestFit="1" customWidth="1"/>
    <col min="19" max="19" width="13.42578125" customWidth="1"/>
  </cols>
  <sheetData>
    <row r="1" spans="1:19" ht="15.75" thickBot="1">
      <c r="A1" s="692" t="s">
        <v>421</v>
      </c>
      <c r="B1" s="693"/>
      <c r="C1" s="693"/>
      <c r="D1" s="693"/>
      <c r="E1" s="693"/>
      <c r="F1" s="693"/>
      <c r="G1" s="693"/>
      <c r="H1" s="693"/>
      <c r="I1" s="694"/>
      <c r="J1" s="397"/>
      <c r="K1" s="692"/>
      <c r="L1" s="693"/>
      <c r="M1" s="693"/>
      <c r="N1" s="693"/>
      <c r="O1" s="693"/>
      <c r="P1" s="693"/>
      <c r="Q1" s="693"/>
      <c r="R1" s="693"/>
      <c r="S1" s="694"/>
    </row>
    <row r="2" spans="1:19" ht="15">
      <c r="A2" s="692" t="s">
        <v>422</v>
      </c>
      <c r="B2" s="693"/>
      <c r="C2" s="693"/>
      <c r="D2" s="693"/>
      <c r="E2" s="693"/>
      <c r="F2" s="693"/>
      <c r="G2" s="693"/>
      <c r="H2" s="693"/>
      <c r="I2" s="694"/>
      <c r="J2" s="397"/>
      <c r="K2" s="683"/>
      <c r="L2" s="684"/>
      <c r="M2" s="684"/>
      <c r="N2" s="684"/>
      <c r="O2" s="684"/>
      <c r="P2" s="684"/>
      <c r="Q2" s="684"/>
      <c r="R2" s="684"/>
      <c r="S2" s="685"/>
    </row>
    <row r="3" spans="1:19" ht="15.75" thickBot="1">
      <c r="A3" s="683" t="s">
        <v>423</v>
      </c>
      <c r="B3" s="684"/>
      <c r="C3" s="684"/>
      <c r="D3" s="684"/>
      <c r="E3" s="684"/>
      <c r="F3" s="684"/>
      <c r="G3" s="684"/>
      <c r="H3" s="684"/>
      <c r="I3" s="685"/>
      <c r="J3" s="397"/>
      <c r="K3" s="689"/>
      <c r="L3" s="690"/>
      <c r="M3" s="690"/>
      <c r="N3" s="690"/>
      <c r="O3" s="690"/>
      <c r="P3" s="690"/>
      <c r="Q3" s="690"/>
      <c r="R3" s="690"/>
      <c r="S3" s="691"/>
    </row>
    <row r="4" spans="1:19" ht="15.75" thickBot="1">
      <c r="A4" s="686" t="s">
        <v>424</v>
      </c>
      <c r="B4" s="687"/>
      <c r="C4" s="687"/>
      <c r="D4" s="687"/>
      <c r="E4" s="687"/>
      <c r="F4" s="687"/>
      <c r="G4" s="687"/>
      <c r="H4" s="687"/>
      <c r="I4" s="688"/>
      <c r="J4" s="397"/>
      <c r="K4" s="686"/>
      <c r="L4" s="687"/>
      <c r="M4" s="687"/>
      <c r="N4" s="687"/>
      <c r="O4" s="687"/>
      <c r="P4" s="687"/>
      <c r="Q4" s="687"/>
      <c r="R4" s="687"/>
      <c r="S4" s="688"/>
    </row>
    <row r="5" spans="1:19" ht="15">
      <c r="A5" s="398"/>
      <c r="B5" s="399"/>
      <c r="C5" s="399"/>
      <c r="D5" s="399"/>
      <c r="E5" s="399"/>
      <c r="F5" s="399"/>
      <c r="G5" s="399"/>
      <c r="H5" s="399"/>
      <c r="I5" s="400"/>
      <c r="J5" s="397"/>
      <c r="K5" s="398"/>
      <c r="L5" s="399"/>
      <c r="M5" s="399"/>
      <c r="N5" s="399"/>
      <c r="O5" s="399"/>
      <c r="P5" s="399"/>
      <c r="Q5" s="399"/>
      <c r="R5" s="399"/>
      <c r="S5" s="400"/>
    </row>
    <row r="6" spans="1:19" ht="15">
      <c r="A6" s="401" t="s">
        <v>425</v>
      </c>
      <c r="B6" s="402" t="s">
        <v>426</v>
      </c>
      <c r="C6" s="399"/>
      <c r="D6" s="399"/>
      <c r="E6" s="399"/>
      <c r="F6" s="399"/>
      <c r="G6" s="399"/>
      <c r="H6" s="399"/>
      <c r="I6" s="400"/>
      <c r="J6" s="397"/>
      <c r="K6" s="401"/>
      <c r="L6" s="402"/>
      <c r="M6" s="399"/>
      <c r="N6" s="399"/>
      <c r="O6" s="399"/>
      <c r="P6" s="399"/>
      <c r="Q6" s="399"/>
      <c r="R6" s="399"/>
      <c r="S6" s="400"/>
    </row>
    <row r="7" spans="1:19" ht="15">
      <c r="A7" s="401" t="s">
        <v>427</v>
      </c>
      <c r="B7" s="402" t="s">
        <v>428</v>
      </c>
      <c r="C7" s="399"/>
      <c r="D7" s="399"/>
      <c r="E7" s="399"/>
      <c r="F7" s="399"/>
      <c r="G7" s="399"/>
      <c r="H7" s="399"/>
      <c r="I7" s="400"/>
      <c r="J7" s="397"/>
      <c r="K7" s="401"/>
      <c r="L7" s="402"/>
      <c r="M7" s="399"/>
      <c r="N7" s="399"/>
      <c r="O7" s="399"/>
      <c r="P7" s="399"/>
      <c r="Q7" s="399"/>
      <c r="R7" s="399"/>
      <c r="S7" s="400"/>
    </row>
    <row r="8" spans="1:19" ht="15.75" thickBot="1">
      <c r="A8" s="398"/>
      <c r="B8" s="402"/>
      <c r="C8" s="399"/>
      <c r="D8" s="399"/>
      <c r="E8" s="399"/>
      <c r="F8" s="399"/>
      <c r="G8" s="399"/>
      <c r="H8" s="399"/>
      <c r="I8" s="400"/>
      <c r="J8" s="397"/>
      <c r="K8" s="398"/>
      <c r="L8" s="402"/>
      <c r="M8" s="399"/>
      <c r="N8" s="399"/>
      <c r="O8" s="399"/>
      <c r="P8" s="399"/>
      <c r="Q8" s="399"/>
      <c r="R8" s="399"/>
      <c r="S8" s="400"/>
    </row>
    <row r="9" spans="1:19" ht="15.75" thickBot="1">
      <c r="A9" s="697" t="s">
        <v>429</v>
      </c>
      <c r="B9" s="698"/>
      <c r="C9" s="698"/>
      <c r="D9" s="698"/>
      <c r="E9" s="698"/>
      <c r="F9" s="698"/>
      <c r="G9" s="698"/>
      <c r="H9" s="698"/>
      <c r="I9" s="699"/>
      <c r="J9" s="397"/>
      <c r="K9" s="674"/>
      <c r="L9" s="675"/>
      <c r="M9" s="675"/>
      <c r="N9" s="675"/>
      <c r="O9" s="675"/>
      <c r="P9" s="675"/>
      <c r="Q9" s="675"/>
      <c r="R9" s="675"/>
      <c r="S9" s="676"/>
    </row>
    <row r="10" spans="1:19" ht="15">
      <c r="A10" s="678" t="s">
        <v>430</v>
      </c>
      <c r="B10" s="679" t="s">
        <v>431</v>
      </c>
      <c r="C10" s="700" t="s">
        <v>432</v>
      </c>
      <c r="D10" s="700" t="s">
        <v>433</v>
      </c>
      <c r="E10" s="700" t="s">
        <v>434</v>
      </c>
      <c r="F10" s="403" t="s">
        <v>435</v>
      </c>
      <c r="G10" s="403"/>
      <c r="H10" s="403"/>
      <c r="I10" s="404" t="s">
        <v>436</v>
      </c>
      <c r="J10" s="397"/>
      <c r="K10" s="680"/>
      <c r="L10" s="667"/>
      <c r="M10" s="661"/>
      <c r="N10" s="661"/>
      <c r="O10" s="661"/>
      <c r="P10" s="405"/>
      <c r="Q10" s="406"/>
      <c r="R10" s="407"/>
      <c r="S10" s="408"/>
    </row>
    <row r="11" spans="1:19" ht="24">
      <c r="A11" s="678"/>
      <c r="B11" s="679"/>
      <c r="C11" s="700"/>
      <c r="D11" s="700"/>
      <c r="E11" s="700"/>
      <c r="F11" s="409" t="s">
        <v>437</v>
      </c>
      <c r="G11" s="409" t="s">
        <v>438</v>
      </c>
      <c r="H11" s="410" t="s">
        <v>439</v>
      </c>
      <c r="I11" s="404"/>
      <c r="J11" s="397"/>
      <c r="K11" s="681"/>
      <c r="L11" s="682"/>
      <c r="M11" s="662"/>
      <c r="N11" s="662"/>
      <c r="O11" s="662"/>
      <c r="P11" s="409"/>
      <c r="Q11" s="409"/>
      <c r="R11" s="411"/>
      <c r="S11" s="412"/>
    </row>
    <row r="12" spans="1:19" ht="15">
      <c r="A12" s="678"/>
      <c r="B12" s="679"/>
      <c r="C12" s="700"/>
      <c r="D12" s="700"/>
      <c r="E12" s="700"/>
      <c r="F12" s="413">
        <v>41821</v>
      </c>
      <c r="G12" s="413">
        <v>44317</v>
      </c>
      <c r="H12" s="410"/>
      <c r="I12" s="404" t="s">
        <v>440</v>
      </c>
      <c r="J12" s="397"/>
      <c r="K12" s="677"/>
      <c r="L12" s="668"/>
      <c r="M12" s="663"/>
      <c r="N12" s="663"/>
      <c r="O12" s="663"/>
      <c r="P12" s="413"/>
      <c r="Q12" s="413"/>
      <c r="R12" s="414"/>
      <c r="S12" s="404"/>
    </row>
    <row r="13" spans="1:19" ht="15">
      <c r="A13" s="415" t="s">
        <v>441</v>
      </c>
      <c r="B13" s="416"/>
      <c r="C13" s="416"/>
      <c r="D13" s="416"/>
      <c r="E13" s="417"/>
      <c r="F13" s="416"/>
      <c r="G13" s="416"/>
      <c r="H13" s="416"/>
      <c r="I13" s="418"/>
      <c r="J13" s="397"/>
      <c r="K13" s="419"/>
      <c r="L13" s="420"/>
      <c r="M13" s="420"/>
      <c r="N13" s="420"/>
      <c r="O13" s="421"/>
      <c r="P13" s="420"/>
      <c r="Q13" s="420"/>
      <c r="R13" s="420"/>
      <c r="S13" s="422"/>
    </row>
    <row r="14" spans="1:19" ht="15">
      <c r="A14" s="423" t="s">
        <v>442</v>
      </c>
      <c r="B14" s="424" t="s">
        <v>443</v>
      </c>
      <c r="C14" s="417">
        <v>24.9</v>
      </c>
      <c r="D14" s="417">
        <f>26.939+0.253*C14</f>
        <v>33.238700000000001</v>
      </c>
      <c r="E14" s="417"/>
      <c r="F14" s="417">
        <v>270.23700000000002</v>
      </c>
      <c r="G14" s="425">
        <v>399.11700000000002</v>
      </c>
      <c r="H14" s="426">
        <f>G14/F14</f>
        <v>1.4769147082005794</v>
      </c>
      <c r="I14" s="427">
        <f>TRUNC((D14*H14),2)</f>
        <v>49.09</v>
      </c>
      <c r="J14" s="397"/>
      <c r="K14" s="428"/>
      <c r="L14" s="429"/>
      <c r="M14" s="430"/>
      <c r="N14" s="421"/>
      <c r="O14" s="421"/>
      <c r="P14" s="421"/>
      <c r="Q14" s="425"/>
      <c r="R14" s="431"/>
      <c r="S14" s="432"/>
    </row>
    <row r="15" spans="1:19" ht="15">
      <c r="A15" s="423"/>
      <c r="B15" s="424"/>
      <c r="C15" s="417"/>
      <c r="D15" s="417"/>
      <c r="E15" s="417"/>
      <c r="F15" s="417"/>
      <c r="G15" s="425"/>
      <c r="H15" s="426"/>
      <c r="I15" s="427"/>
      <c r="J15" s="397"/>
      <c r="K15" s="428"/>
      <c r="L15" s="429"/>
      <c r="M15" s="430"/>
      <c r="N15" s="421"/>
      <c r="O15" s="421"/>
      <c r="P15" s="421"/>
      <c r="Q15" s="425"/>
      <c r="R15" s="431"/>
      <c r="S15" s="432"/>
    </row>
    <row r="16" spans="1:19" ht="15.75" thickBot="1">
      <c r="A16" s="423"/>
      <c r="B16" s="424"/>
      <c r="C16" s="417"/>
      <c r="D16" s="417"/>
      <c r="E16" s="417"/>
      <c r="F16" s="417"/>
      <c r="G16" s="417"/>
      <c r="H16" s="426"/>
      <c r="I16" s="433"/>
      <c r="J16" s="397"/>
      <c r="K16" s="428"/>
      <c r="L16" s="429"/>
      <c r="M16" s="421"/>
      <c r="N16" s="421"/>
      <c r="O16" s="434"/>
      <c r="P16" s="434"/>
      <c r="Q16" s="434"/>
      <c r="R16" s="431"/>
      <c r="S16" s="435"/>
    </row>
    <row r="17" spans="1:19" ht="15">
      <c r="A17" s="423"/>
      <c r="B17" s="424"/>
      <c r="C17" s="417"/>
      <c r="D17" s="417"/>
      <c r="E17" s="417"/>
      <c r="F17" s="417"/>
      <c r="G17" s="417"/>
      <c r="H17" s="426"/>
      <c r="I17" s="433"/>
      <c r="J17" s="397"/>
      <c r="K17" s="428"/>
      <c r="L17" s="429"/>
      <c r="M17" s="421"/>
      <c r="N17" s="436"/>
      <c r="O17" s="664"/>
      <c r="P17" s="667"/>
      <c r="Q17" s="669"/>
      <c r="R17" s="437"/>
      <c r="S17" s="435"/>
    </row>
    <row r="18" spans="1:19" ht="15">
      <c r="A18" s="423"/>
      <c r="B18" s="424"/>
      <c r="C18" s="417"/>
      <c r="D18" s="417"/>
      <c r="E18" s="417"/>
      <c r="F18" s="409" t="s">
        <v>437</v>
      </c>
      <c r="G18" s="409" t="s">
        <v>438</v>
      </c>
      <c r="H18" s="438"/>
      <c r="I18" s="439"/>
      <c r="J18" s="397"/>
      <c r="K18" s="428"/>
      <c r="L18" s="429"/>
      <c r="M18" s="421"/>
      <c r="N18" s="436"/>
      <c r="O18" s="665"/>
      <c r="P18" s="668"/>
      <c r="Q18" s="670"/>
      <c r="R18" s="440"/>
      <c r="S18" s="441"/>
    </row>
    <row r="19" spans="1:19" ht="15.75" thickBot="1">
      <c r="A19" s="442" t="s">
        <v>444</v>
      </c>
      <c r="B19" s="443" t="s">
        <v>445</v>
      </c>
      <c r="C19" s="444" t="s">
        <v>446</v>
      </c>
      <c r="D19" s="444"/>
      <c r="E19" s="417"/>
      <c r="F19" s="413">
        <v>44044</v>
      </c>
      <c r="G19" s="413">
        <v>44317</v>
      </c>
      <c r="H19" s="445"/>
      <c r="I19" s="446"/>
      <c r="J19" s="397"/>
      <c r="K19" s="447"/>
      <c r="L19" s="448"/>
      <c r="M19" s="449"/>
      <c r="N19" s="450"/>
      <c r="O19" s="666"/>
      <c r="P19" s="451"/>
      <c r="Q19" s="452"/>
      <c r="R19" s="453"/>
      <c r="S19" s="454"/>
    </row>
    <row r="20" spans="1:19" ht="15">
      <c r="A20" s="423"/>
      <c r="B20" s="455"/>
      <c r="C20" s="417"/>
      <c r="D20" s="417"/>
      <c r="E20" s="417"/>
      <c r="F20" s="417"/>
      <c r="G20" s="417"/>
      <c r="H20" s="426"/>
      <c r="I20" s="427"/>
      <c r="J20" s="397"/>
      <c r="K20" s="428"/>
      <c r="L20" s="456"/>
      <c r="M20" s="421"/>
      <c r="N20" s="421"/>
      <c r="O20" s="425"/>
      <c r="P20" s="425"/>
      <c r="Q20" s="425"/>
      <c r="R20" s="431"/>
      <c r="S20" s="432"/>
    </row>
    <row r="21" spans="1:19" ht="15">
      <c r="A21" s="423"/>
      <c r="B21" s="455"/>
      <c r="C21" s="417"/>
      <c r="D21" s="417"/>
      <c r="E21" s="417"/>
      <c r="F21" s="425"/>
      <c r="G21" s="425"/>
      <c r="H21" s="426"/>
      <c r="I21" s="427"/>
      <c r="J21" s="397"/>
      <c r="K21" s="428"/>
      <c r="L21" s="456"/>
      <c r="M21" s="421"/>
      <c r="N21" s="421"/>
      <c r="O21" s="421"/>
      <c r="P21" s="421"/>
      <c r="Q21" s="421"/>
      <c r="R21" s="431"/>
      <c r="S21" s="432"/>
    </row>
    <row r="22" spans="1:19" ht="15">
      <c r="A22" s="457"/>
      <c r="B22" s="455"/>
      <c r="C22" s="417"/>
      <c r="D22" s="417"/>
      <c r="E22" s="417"/>
      <c r="F22" s="417"/>
      <c r="G22" s="426"/>
      <c r="H22" s="458"/>
      <c r="I22" s="459"/>
      <c r="J22" s="397"/>
      <c r="K22" s="428"/>
      <c r="L22" s="456"/>
      <c r="M22" s="421"/>
      <c r="N22" s="421"/>
      <c r="O22" s="421"/>
      <c r="P22" s="421"/>
      <c r="Q22" s="460"/>
      <c r="R22" s="461"/>
      <c r="S22" s="462"/>
    </row>
    <row r="23" spans="1:19" ht="15">
      <c r="A23" s="423" t="s">
        <v>447</v>
      </c>
      <c r="B23" s="455"/>
      <c r="C23" s="417"/>
      <c r="D23" s="417"/>
      <c r="E23" s="417"/>
      <c r="F23" s="417"/>
      <c r="G23" s="426"/>
      <c r="H23" s="458"/>
      <c r="I23" s="459"/>
      <c r="J23" s="397"/>
      <c r="K23" s="428"/>
      <c r="L23" s="456"/>
      <c r="M23" s="421"/>
      <c r="N23" s="421"/>
      <c r="O23" s="421"/>
      <c r="P23" s="421"/>
      <c r="Q23" s="460"/>
      <c r="R23" s="461"/>
      <c r="S23" s="462"/>
    </row>
    <row r="24" spans="1:19" ht="15">
      <c r="A24" s="457"/>
      <c r="B24" s="416"/>
      <c r="C24" s="416"/>
      <c r="D24" s="416"/>
      <c r="E24" s="416"/>
      <c r="F24" s="416"/>
      <c r="G24" s="416"/>
      <c r="H24" s="416"/>
      <c r="I24" s="418"/>
      <c r="J24" s="397"/>
      <c r="K24" s="463"/>
      <c r="L24" s="464"/>
      <c r="M24" s="464"/>
      <c r="N24" s="464"/>
      <c r="O24" s="464"/>
      <c r="P24" s="464"/>
      <c r="Q24" s="465"/>
      <c r="R24" s="466"/>
      <c r="S24" s="467"/>
    </row>
    <row r="25" spans="1:19" ht="15.75" thickBot="1">
      <c r="A25" s="695" t="s">
        <v>14</v>
      </c>
      <c r="B25" s="696"/>
      <c r="C25" s="696"/>
      <c r="D25" s="696"/>
      <c r="E25" s="696"/>
      <c r="F25" s="696"/>
      <c r="G25" s="696"/>
      <c r="H25" s="416"/>
      <c r="I25" s="468">
        <f>SUM(I14:I21)</f>
        <v>49.09</v>
      </c>
      <c r="J25" s="397"/>
      <c r="K25" s="671"/>
      <c r="L25" s="672"/>
      <c r="M25" s="672"/>
      <c r="N25" s="672"/>
      <c r="O25" s="672"/>
      <c r="P25" s="672"/>
      <c r="Q25" s="673"/>
      <c r="R25" s="469"/>
      <c r="S25" s="470"/>
    </row>
    <row r="26" spans="1:19" ht="15.75" thickBot="1">
      <c r="A26" s="471"/>
      <c r="B26" s="472"/>
      <c r="C26" s="472"/>
      <c r="D26" s="472"/>
      <c r="E26" s="472"/>
      <c r="F26" s="472"/>
      <c r="G26" s="472"/>
      <c r="H26" s="472"/>
      <c r="I26" s="473"/>
      <c r="J26" s="397"/>
      <c r="K26" s="474"/>
      <c r="L26" s="475"/>
      <c r="M26" s="475"/>
      <c r="N26" s="475"/>
      <c r="O26" s="475"/>
      <c r="P26" s="475"/>
      <c r="Q26" s="475"/>
      <c r="R26" s="475"/>
      <c r="S26" s="476"/>
    </row>
    <row r="27" spans="1:19" ht="15">
      <c r="A27" s="477" t="s">
        <v>448</v>
      </c>
      <c r="B27" s="658" t="s">
        <v>449</v>
      </c>
      <c r="C27" s="659"/>
      <c r="D27" s="660"/>
      <c r="E27" s="472"/>
      <c r="F27" s="472"/>
      <c r="G27" s="472"/>
      <c r="H27" s="472"/>
      <c r="I27" s="473"/>
      <c r="J27" s="397"/>
      <c r="K27" s="477"/>
      <c r="L27" s="658"/>
      <c r="M27" s="659"/>
      <c r="N27" s="660"/>
      <c r="O27" s="472"/>
      <c r="P27" s="472"/>
      <c r="Q27" s="472"/>
      <c r="R27" s="472"/>
      <c r="S27" s="473"/>
    </row>
    <row r="28" spans="1:19" ht="15">
      <c r="A28" s="478" t="s">
        <v>442</v>
      </c>
      <c r="B28" s="648" t="s">
        <v>443</v>
      </c>
      <c r="C28" s="648"/>
      <c r="D28" s="649"/>
      <c r="E28" s="472"/>
      <c r="F28" s="472"/>
      <c r="G28" s="472"/>
      <c r="H28" s="472"/>
      <c r="I28" s="473"/>
      <c r="J28" s="397"/>
      <c r="K28" s="478"/>
      <c r="L28" s="650"/>
      <c r="M28" s="651"/>
      <c r="N28" s="652"/>
      <c r="O28" s="472"/>
      <c r="P28" s="472"/>
      <c r="Q28" s="472"/>
      <c r="R28" s="472"/>
      <c r="S28" s="473"/>
    </row>
    <row r="29" spans="1:19" ht="15">
      <c r="A29" s="478" t="s">
        <v>450</v>
      </c>
      <c r="B29" s="648" t="s">
        <v>451</v>
      </c>
      <c r="C29" s="648"/>
      <c r="D29" s="649"/>
      <c r="E29" s="472"/>
      <c r="F29" s="472"/>
      <c r="G29" s="472"/>
      <c r="H29" s="472"/>
      <c r="I29" s="479"/>
      <c r="J29" s="397"/>
      <c r="K29" s="478"/>
      <c r="L29" s="650"/>
      <c r="M29" s="651"/>
      <c r="N29" s="652"/>
      <c r="O29" s="472"/>
      <c r="P29" s="472"/>
      <c r="Q29" s="472"/>
      <c r="R29" s="472"/>
      <c r="S29" s="473"/>
    </row>
    <row r="30" spans="1:19" ht="15.75" thickBot="1">
      <c r="A30" s="480" t="s">
        <v>452</v>
      </c>
      <c r="B30" s="653" t="s">
        <v>453</v>
      </c>
      <c r="C30" s="653"/>
      <c r="D30" s="654"/>
      <c r="E30" s="472"/>
      <c r="F30" s="472"/>
      <c r="G30" s="472"/>
      <c r="H30" s="472"/>
      <c r="I30" s="473"/>
      <c r="J30" s="397"/>
      <c r="K30" s="480"/>
      <c r="L30" s="655"/>
      <c r="M30" s="656"/>
      <c r="N30" s="657"/>
      <c r="O30" s="472"/>
      <c r="P30" s="472"/>
      <c r="Q30" s="472"/>
      <c r="R30" s="472"/>
      <c r="S30" s="473"/>
    </row>
    <row r="31" spans="1:19" ht="15.75" thickBot="1">
      <c r="A31" s="481"/>
      <c r="B31" s="482"/>
      <c r="C31" s="482"/>
      <c r="D31" s="482"/>
      <c r="E31" s="482"/>
      <c r="F31" s="482"/>
      <c r="G31" s="482"/>
      <c r="H31" s="482"/>
      <c r="I31" s="483"/>
      <c r="J31" s="397"/>
      <c r="K31" s="481"/>
      <c r="L31" s="482"/>
      <c r="M31" s="482"/>
      <c r="N31" s="482"/>
      <c r="O31" s="482"/>
      <c r="P31" s="482"/>
      <c r="Q31" s="482"/>
      <c r="R31" s="482"/>
      <c r="S31" s="483"/>
    </row>
    <row r="32" spans="1:19" ht="15.75" thickBot="1">
      <c r="A32" s="397"/>
      <c r="B32" s="397"/>
      <c r="C32" s="397"/>
      <c r="D32" s="397"/>
      <c r="E32" s="397"/>
      <c r="F32" s="397"/>
      <c r="G32" s="397"/>
      <c r="H32" s="397"/>
      <c r="I32" s="397"/>
      <c r="J32" s="397"/>
      <c r="K32" s="397"/>
      <c r="L32" s="397"/>
      <c r="M32" s="397"/>
      <c r="N32" s="397"/>
      <c r="O32" s="397"/>
      <c r="P32" s="397"/>
      <c r="Q32" s="397"/>
      <c r="R32" s="397"/>
      <c r="S32" s="397"/>
    </row>
    <row r="33" spans="1:19" ht="15.75" thickBot="1">
      <c r="A33" s="692" t="s">
        <v>454</v>
      </c>
      <c r="B33" s="693"/>
      <c r="C33" s="693"/>
      <c r="D33" s="693"/>
      <c r="E33" s="693"/>
      <c r="F33" s="693"/>
      <c r="G33" s="693"/>
      <c r="H33" s="693"/>
      <c r="I33" s="694"/>
      <c r="J33" s="397"/>
      <c r="K33" s="397"/>
      <c r="L33" s="397"/>
      <c r="M33" s="397"/>
      <c r="N33" s="397"/>
      <c r="O33" s="397"/>
      <c r="P33" s="397"/>
      <c r="Q33" s="397"/>
      <c r="R33" s="397"/>
      <c r="S33" s="397"/>
    </row>
    <row r="34" spans="1:19" ht="15">
      <c r="A34" s="683" t="s">
        <v>422</v>
      </c>
      <c r="B34" s="684"/>
      <c r="C34" s="684"/>
      <c r="D34" s="684"/>
      <c r="E34" s="684"/>
      <c r="F34" s="684"/>
      <c r="G34" s="684"/>
      <c r="H34" s="684"/>
      <c r="I34" s="685"/>
      <c r="J34" s="397"/>
      <c r="K34" s="692" t="s">
        <v>454</v>
      </c>
      <c r="L34" s="693"/>
      <c r="M34" s="693"/>
      <c r="N34" s="693"/>
      <c r="O34" s="693"/>
      <c r="P34" s="693"/>
      <c r="Q34" s="693"/>
      <c r="R34" s="693"/>
      <c r="S34" s="694"/>
    </row>
    <row r="35" spans="1:19" ht="15.75" thickBot="1">
      <c r="A35" s="683" t="s">
        <v>423</v>
      </c>
      <c r="B35" s="684"/>
      <c r="C35" s="684"/>
      <c r="D35" s="684"/>
      <c r="E35" s="684"/>
      <c r="F35" s="684"/>
      <c r="G35" s="684"/>
      <c r="H35" s="684"/>
      <c r="I35" s="685"/>
      <c r="J35" s="397"/>
      <c r="K35" s="683" t="s">
        <v>422</v>
      </c>
      <c r="L35" s="684"/>
      <c r="M35" s="684"/>
      <c r="N35" s="684"/>
      <c r="O35" s="684"/>
      <c r="P35" s="684"/>
      <c r="Q35" s="684"/>
      <c r="R35" s="684"/>
      <c r="S35" s="685"/>
    </row>
    <row r="36" spans="1:19" ht="15.75" thickBot="1">
      <c r="A36" s="686" t="s">
        <v>455</v>
      </c>
      <c r="B36" s="687"/>
      <c r="C36" s="687"/>
      <c r="D36" s="687"/>
      <c r="E36" s="687"/>
      <c r="F36" s="687"/>
      <c r="G36" s="687"/>
      <c r="H36" s="687"/>
      <c r="I36" s="688"/>
      <c r="J36" s="397"/>
      <c r="K36" s="689" t="s">
        <v>423</v>
      </c>
      <c r="L36" s="690"/>
      <c r="M36" s="690"/>
      <c r="N36" s="690"/>
      <c r="O36" s="690"/>
      <c r="P36" s="690"/>
      <c r="Q36" s="690"/>
      <c r="R36" s="690"/>
      <c r="S36" s="691"/>
    </row>
    <row r="37" spans="1:19" ht="15.75" thickBot="1">
      <c r="A37" s="398"/>
      <c r="B37" s="399"/>
      <c r="C37" s="399"/>
      <c r="D37" s="399"/>
      <c r="E37" s="399"/>
      <c r="F37" s="399"/>
      <c r="G37" s="399"/>
      <c r="H37" s="399"/>
      <c r="I37" s="400"/>
      <c r="J37" s="397"/>
      <c r="K37" s="686" t="s">
        <v>456</v>
      </c>
      <c r="L37" s="687"/>
      <c r="M37" s="687"/>
      <c r="N37" s="687"/>
      <c r="O37" s="687"/>
      <c r="P37" s="687"/>
      <c r="Q37" s="687"/>
      <c r="R37" s="687"/>
      <c r="S37" s="688"/>
    </row>
    <row r="38" spans="1:19" ht="15">
      <c r="A38" s="401" t="s">
        <v>425</v>
      </c>
      <c r="B38" s="402" t="s">
        <v>457</v>
      </c>
      <c r="C38" s="399"/>
      <c r="D38" s="399"/>
      <c r="E38" s="399"/>
      <c r="F38" s="399"/>
      <c r="G38" s="399"/>
      <c r="H38" s="399"/>
      <c r="I38" s="400"/>
      <c r="J38" s="397"/>
      <c r="K38" s="398"/>
      <c r="L38" s="399"/>
      <c r="M38" s="399"/>
      <c r="N38" s="399"/>
      <c r="O38" s="399"/>
      <c r="P38" s="399"/>
      <c r="Q38" s="399"/>
      <c r="R38" s="399"/>
      <c r="S38" s="400"/>
    </row>
    <row r="39" spans="1:19" ht="15">
      <c r="A39" s="401" t="s">
        <v>427</v>
      </c>
      <c r="B39" s="402" t="s">
        <v>428</v>
      </c>
      <c r="C39" s="399"/>
      <c r="D39" s="399"/>
      <c r="E39" s="399"/>
      <c r="F39" s="399"/>
      <c r="G39" s="399"/>
      <c r="H39" s="399"/>
      <c r="I39" s="400"/>
      <c r="J39" s="397"/>
      <c r="K39" s="401" t="s">
        <v>425</v>
      </c>
      <c r="L39" s="402" t="s">
        <v>458</v>
      </c>
      <c r="M39" s="399"/>
      <c r="N39" s="399"/>
      <c r="O39" s="399"/>
      <c r="P39" s="399"/>
      <c r="Q39" s="399"/>
      <c r="R39" s="399"/>
      <c r="S39" s="400"/>
    </row>
    <row r="40" spans="1:19" ht="15.75" thickBot="1">
      <c r="A40" s="398"/>
      <c r="B40" s="402"/>
      <c r="C40" s="399"/>
      <c r="D40" s="399"/>
      <c r="E40" s="399"/>
      <c r="F40" s="399"/>
      <c r="G40" s="399"/>
      <c r="H40" s="399"/>
      <c r="I40" s="400"/>
      <c r="J40" s="397"/>
      <c r="K40" s="401" t="s">
        <v>427</v>
      </c>
      <c r="L40" s="402" t="s">
        <v>428</v>
      </c>
      <c r="M40" s="399"/>
      <c r="N40" s="399"/>
      <c r="O40" s="399"/>
      <c r="P40" s="399"/>
      <c r="Q40" s="399"/>
      <c r="R40" s="399"/>
      <c r="S40" s="400"/>
    </row>
    <row r="41" spans="1:19" ht="15.75" thickBot="1">
      <c r="A41" s="674" t="s">
        <v>429</v>
      </c>
      <c r="B41" s="675"/>
      <c r="C41" s="675"/>
      <c r="D41" s="675"/>
      <c r="E41" s="675"/>
      <c r="F41" s="675"/>
      <c r="G41" s="675"/>
      <c r="H41" s="675"/>
      <c r="I41" s="676"/>
      <c r="J41" s="397"/>
      <c r="K41" s="398"/>
      <c r="L41" s="402"/>
      <c r="M41" s="399"/>
      <c r="N41" s="399"/>
      <c r="O41" s="399"/>
      <c r="P41" s="399"/>
      <c r="Q41" s="399"/>
      <c r="R41" s="399"/>
      <c r="S41" s="400"/>
    </row>
    <row r="42" spans="1:19" ht="15.75" thickBot="1">
      <c r="A42" s="677" t="s">
        <v>430</v>
      </c>
      <c r="B42" s="668" t="s">
        <v>431</v>
      </c>
      <c r="C42" s="661" t="s">
        <v>432</v>
      </c>
      <c r="D42" s="661" t="s">
        <v>433</v>
      </c>
      <c r="E42" s="661" t="s">
        <v>459</v>
      </c>
      <c r="F42" s="405" t="s">
        <v>435</v>
      </c>
      <c r="G42" s="406"/>
      <c r="H42" s="407"/>
      <c r="I42" s="408" t="s">
        <v>436</v>
      </c>
      <c r="J42" s="397"/>
      <c r="K42" s="674" t="s">
        <v>429</v>
      </c>
      <c r="L42" s="675"/>
      <c r="M42" s="675"/>
      <c r="N42" s="675"/>
      <c r="O42" s="675"/>
      <c r="P42" s="675"/>
      <c r="Q42" s="675"/>
      <c r="R42" s="675"/>
      <c r="S42" s="676"/>
    </row>
    <row r="43" spans="1:19" ht="24">
      <c r="A43" s="678"/>
      <c r="B43" s="679"/>
      <c r="C43" s="662"/>
      <c r="D43" s="662"/>
      <c r="E43" s="662"/>
      <c r="F43" s="409" t="s">
        <v>437</v>
      </c>
      <c r="G43" s="409" t="s">
        <v>438</v>
      </c>
      <c r="H43" s="411" t="s">
        <v>439</v>
      </c>
      <c r="I43" s="412"/>
      <c r="J43" s="397"/>
      <c r="K43" s="680" t="s">
        <v>430</v>
      </c>
      <c r="L43" s="667" t="s">
        <v>431</v>
      </c>
      <c r="M43" s="661" t="s">
        <v>432</v>
      </c>
      <c r="N43" s="661" t="s">
        <v>433</v>
      </c>
      <c r="O43" s="661" t="s">
        <v>459</v>
      </c>
      <c r="P43" s="405" t="s">
        <v>435</v>
      </c>
      <c r="Q43" s="406"/>
      <c r="R43" s="407"/>
      <c r="S43" s="408" t="s">
        <v>436</v>
      </c>
    </row>
    <row r="44" spans="1:19" ht="24">
      <c r="A44" s="678"/>
      <c r="B44" s="679"/>
      <c r="C44" s="663"/>
      <c r="D44" s="663"/>
      <c r="E44" s="663"/>
      <c r="F44" s="413">
        <v>41821</v>
      </c>
      <c r="G44" s="413">
        <v>44317</v>
      </c>
      <c r="H44" s="414"/>
      <c r="I44" s="404" t="s">
        <v>440</v>
      </c>
      <c r="J44" s="397"/>
      <c r="K44" s="681"/>
      <c r="L44" s="682"/>
      <c r="M44" s="662"/>
      <c r="N44" s="662"/>
      <c r="O44" s="662"/>
      <c r="P44" s="409" t="s">
        <v>437</v>
      </c>
      <c r="Q44" s="409" t="s">
        <v>438</v>
      </c>
      <c r="R44" s="411" t="s">
        <v>439</v>
      </c>
      <c r="S44" s="412"/>
    </row>
    <row r="45" spans="1:19" ht="15">
      <c r="A45" s="419"/>
      <c r="B45" s="420"/>
      <c r="C45" s="420"/>
      <c r="D45" s="420"/>
      <c r="E45" s="421"/>
      <c r="F45" s="420"/>
      <c r="G45" s="420"/>
      <c r="H45" s="420"/>
      <c r="I45" s="422"/>
      <c r="J45" s="397"/>
      <c r="K45" s="677"/>
      <c r="L45" s="668"/>
      <c r="M45" s="663"/>
      <c r="N45" s="663"/>
      <c r="O45" s="663"/>
      <c r="P45" s="413">
        <v>41821</v>
      </c>
      <c r="Q45" s="413">
        <v>44317</v>
      </c>
      <c r="R45" s="414"/>
      <c r="S45" s="404" t="s">
        <v>440</v>
      </c>
    </row>
    <row r="46" spans="1:19" ht="15">
      <c r="A46" s="463" t="s">
        <v>442</v>
      </c>
      <c r="B46" s="429" t="s">
        <v>443</v>
      </c>
      <c r="C46" s="430">
        <v>1266</v>
      </c>
      <c r="D46" s="421">
        <f>26.939+0.253*C46</f>
        <v>347.23700000000002</v>
      </c>
      <c r="E46" s="421">
        <f>D46/(1-0.17)</f>
        <v>418.35783132530128</v>
      </c>
      <c r="F46" s="421">
        <v>270.23700000000002</v>
      </c>
      <c r="G46" s="425">
        <v>399.11700000000002</v>
      </c>
      <c r="H46" s="431">
        <f>G46/F46</f>
        <v>1.4769147082005794</v>
      </c>
      <c r="I46" s="432">
        <f>TRUNC((E46*H46),2)</f>
        <v>617.87</v>
      </c>
      <c r="J46" s="397"/>
      <c r="K46" s="419"/>
      <c r="L46" s="420"/>
      <c r="M46" s="420"/>
      <c r="N46" s="420"/>
      <c r="O46" s="421"/>
      <c r="P46" s="420"/>
      <c r="Q46" s="420"/>
      <c r="R46" s="420"/>
      <c r="S46" s="422"/>
    </row>
    <row r="47" spans="1:19" ht="15">
      <c r="A47" s="463"/>
      <c r="B47" s="429"/>
      <c r="C47" s="430"/>
      <c r="D47" s="421"/>
      <c r="E47" s="421"/>
      <c r="F47" s="421"/>
      <c r="G47" s="425"/>
      <c r="H47" s="431"/>
      <c r="I47" s="432"/>
      <c r="J47" s="397"/>
      <c r="K47" s="463" t="s">
        <v>442</v>
      </c>
      <c r="L47" s="429" t="s">
        <v>443</v>
      </c>
      <c r="M47" s="430">
        <v>1437</v>
      </c>
      <c r="N47" s="421">
        <f>26.939+0.253*M47</f>
        <v>390.5</v>
      </c>
      <c r="O47" s="421">
        <f>N47/(1-0.17)</f>
        <v>470.48192771084342</v>
      </c>
      <c r="P47" s="421">
        <v>270.23700000000002</v>
      </c>
      <c r="Q47" s="425">
        <v>399.11700000000002</v>
      </c>
      <c r="R47" s="431">
        <f>Q47/P47</f>
        <v>1.4769147082005794</v>
      </c>
      <c r="S47" s="432">
        <f>TRUNC((O47*R47),2)</f>
        <v>694.86</v>
      </c>
    </row>
    <row r="48" spans="1:19" ht="15.75" thickBot="1">
      <c r="A48" s="463"/>
      <c r="B48" s="429"/>
      <c r="C48" s="421"/>
      <c r="D48" s="421"/>
      <c r="E48" s="434"/>
      <c r="F48" s="434"/>
      <c r="G48" s="434"/>
      <c r="H48" s="431"/>
      <c r="I48" s="435"/>
      <c r="J48" s="397"/>
      <c r="K48" s="463"/>
      <c r="L48" s="429"/>
      <c r="M48" s="430"/>
      <c r="N48" s="421"/>
      <c r="O48" s="421"/>
      <c r="P48" s="421"/>
      <c r="Q48" s="425"/>
      <c r="R48" s="431"/>
      <c r="S48" s="432"/>
    </row>
    <row r="49" spans="1:19" ht="15.75" thickBot="1">
      <c r="A49" s="463"/>
      <c r="B49" s="429"/>
      <c r="C49" s="421"/>
      <c r="D49" s="436"/>
      <c r="E49" s="664" t="s">
        <v>460</v>
      </c>
      <c r="F49" s="667" t="s">
        <v>437</v>
      </c>
      <c r="G49" s="669" t="s">
        <v>438</v>
      </c>
      <c r="H49" s="437"/>
      <c r="I49" s="435"/>
      <c r="J49" s="397"/>
      <c r="K49" s="463"/>
      <c r="L49" s="429"/>
      <c r="M49" s="421"/>
      <c r="N49" s="421"/>
      <c r="O49" s="434"/>
      <c r="P49" s="434"/>
      <c r="Q49" s="434"/>
      <c r="R49" s="431"/>
      <c r="S49" s="435"/>
    </row>
    <row r="50" spans="1:19" ht="15">
      <c r="A50" s="463"/>
      <c r="B50" s="429"/>
      <c r="C50" s="421"/>
      <c r="D50" s="436"/>
      <c r="E50" s="665"/>
      <c r="F50" s="668"/>
      <c r="G50" s="670"/>
      <c r="H50" s="440"/>
      <c r="I50" s="441"/>
      <c r="J50" s="397"/>
      <c r="K50" s="463"/>
      <c r="L50" s="429"/>
      <c r="M50" s="421"/>
      <c r="N50" s="436"/>
      <c r="O50" s="664" t="s">
        <v>460</v>
      </c>
      <c r="P50" s="667" t="s">
        <v>437</v>
      </c>
      <c r="Q50" s="669" t="s">
        <v>438</v>
      </c>
      <c r="R50" s="437"/>
      <c r="S50" s="435"/>
    </row>
    <row r="51" spans="1:19" ht="15.75" thickBot="1">
      <c r="A51" s="484" t="s">
        <v>444</v>
      </c>
      <c r="B51" s="448" t="s">
        <v>445</v>
      </c>
      <c r="C51" s="449" t="s">
        <v>446</v>
      </c>
      <c r="D51" s="450"/>
      <c r="E51" s="666"/>
      <c r="F51" s="451">
        <v>44075</v>
      </c>
      <c r="G51" s="413">
        <v>44317</v>
      </c>
      <c r="H51" s="453"/>
      <c r="I51" s="454"/>
      <c r="J51" s="397"/>
      <c r="K51" s="463"/>
      <c r="L51" s="429"/>
      <c r="M51" s="421"/>
      <c r="N51" s="436"/>
      <c r="O51" s="665"/>
      <c r="P51" s="668"/>
      <c r="Q51" s="670"/>
      <c r="R51" s="440"/>
      <c r="S51" s="441"/>
    </row>
    <row r="52" spans="1:19" ht="15.75" thickBot="1">
      <c r="A52" s="463" t="s">
        <v>461</v>
      </c>
      <c r="B52" s="456">
        <v>5.0999999999999996</v>
      </c>
      <c r="C52" s="421">
        <v>5</v>
      </c>
      <c r="D52" s="421">
        <f>B52*C52</f>
        <v>25.5</v>
      </c>
      <c r="E52" s="425">
        <f>D52/25</f>
        <v>1.02</v>
      </c>
      <c r="F52" s="425">
        <v>365.25700000000001</v>
      </c>
      <c r="G52" s="425">
        <v>399.11700000000002</v>
      </c>
      <c r="H52" s="431">
        <f>G52/F52</f>
        <v>1.0927018510254425</v>
      </c>
      <c r="I52" s="432">
        <f>TRUNC((E52*H52),2)</f>
        <v>1.1100000000000001</v>
      </c>
      <c r="J52" s="397"/>
      <c r="K52" s="484" t="s">
        <v>444</v>
      </c>
      <c r="L52" s="448" t="s">
        <v>445</v>
      </c>
      <c r="M52" s="449" t="s">
        <v>446</v>
      </c>
      <c r="N52" s="450"/>
      <c r="O52" s="666"/>
      <c r="P52" s="413">
        <v>41821</v>
      </c>
      <c r="Q52" s="413">
        <v>44317</v>
      </c>
      <c r="R52" s="453"/>
      <c r="S52" s="454"/>
    </row>
    <row r="53" spans="1:19" ht="15">
      <c r="A53" s="463" t="s">
        <v>462</v>
      </c>
      <c r="B53" s="456">
        <v>4.0999999999999996</v>
      </c>
      <c r="C53" s="421">
        <v>5</v>
      </c>
      <c r="D53" s="421">
        <f>B53*C53</f>
        <v>20.5</v>
      </c>
      <c r="E53" s="425">
        <f>D53/25</f>
        <v>0.82</v>
      </c>
      <c r="F53" s="425">
        <v>365.25700000000001</v>
      </c>
      <c r="G53" s="425">
        <v>399.11700000000002</v>
      </c>
      <c r="H53" s="431">
        <f>G53/F53</f>
        <v>1.0927018510254425</v>
      </c>
      <c r="I53" s="432">
        <f>TRUNC((E53*H53),2)</f>
        <v>0.89</v>
      </c>
      <c r="J53" s="397"/>
      <c r="K53" s="463" t="s">
        <v>461</v>
      </c>
      <c r="L53" s="456">
        <v>5.0999999999999996</v>
      </c>
      <c r="M53" s="421">
        <v>5</v>
      </c>
      <c r="N53" s="421">
        <f>L53*M53</f>
        <v>25.5</v>
      </c>
      <c r="O53" s="425">
        <f>N53/25</f>
        <v>1.02</v>
      </c>
      <c r="P53" s="425">
        <v>365.25700000000001</v>
      </c>
      <c r="Q53" s="425">
        <v>399.11700000000002</v>
      </c>
      <c r="R53" s="431">
        <f>Q53/P53</f>
        <v>1.0927018510254425</v>
      </c>
      <c r="S53" s="432">
        <f>TRUNC((O53*R53),2)</f>
        <v>1.1100000000000001</v>
      </c>
    </row>
    <row r="54" spans="1:19" ht="15">
      <c r="A54" s="463" t="s">
        <v>463</v>
      </c>
      <c r="B54" s="456">
        <v>4.0999999999999996</v>
      </c>
      <c r="C54" s="421">
        <v>5</v>
      </c>
      <c r="D54" s="421">
        <f>B54*C54</f>
        <v>20.5</v>
      </c>
      <c r="E54" s="425">
        <f>D54/25</f>
        <v>0.82</v>
      </c>
      <c r="F54" s="425">
        <v>365.25700000000001</v>
      </c>
      <c r="G54" s="425">
        <v>399.11700000000002</v>
      </c>
      <c r="H54" s="431">
        <f>G54/F54</f>
        <v>1.0927018510254425</v>
      </c>
      <c r="I54" s="432">
        <f>TRUNC((E54*H54),2)</f>
        <v>0.89</v>
      </c>
      <c r="J54" s="397"/>
      <c r="K54" s="463" t="s">
        <v>462</v>
      </c>
      <c r="L54" s="456">
        <v>4.0999999999999996</v>
      </c>
      <c r="M54" s="421">
        <v>5</v>
      </c>
      <c r="N54" s="421">
        <f>L54*M54</f>
        <v>20.5</v>
      </c>
      <c r="O54" s="425">
        <f>N54/25</f>
        <v>0.82</v>
      </c>
      <c r="P54" s="425">
        <v>365.25700000000001</v>
      </c>
      <c r="Q54" s="425">
        <v>399.11700000000002</v>
      </c>
      <c r="R54" s="431">
        <f>Q54/P54</f>
        <v>1.0927018510254425</v>
      </c>
      <c r="S54" s="432">
        <f>TRUNC((O54*R54),2)</f>
        <v>0.89</v>
      </c>
    </row>
    <row r="55" spans="1:19" ht="15">
      <c r="A55" s="463"/>
      <c r="B55" s="456"/>
      <c r="C55" s="421"/>
      <c r="D55" s="421"/>
      <c r="E55" s="425"/>
      <c r="F55" s="425"/>
      <c r="G55" s="425"/>
      <c r="H55" s="431"/>
      <c r="I55" s="432"/>
      <c r="J55" s="397"/>
      <c r="K55" s="463" t="s">
        <v>463</v>
      </c>
      <c r="L55" s="456">
        <v>4.0999999999999996</v>
      </c>
      <c r="M55" s="421">
        <v>5</v>
      </c>
      <c r="N55" s="421">
        <f>L55*M55</f>
        <v>20.5</v>
      </c>
      <c r="O55" s="425">
        <f>N55/25</f>
        <v>0.82</v>
      </c>
      <c r="P55" s="425">
        <v>365.25700000000001</v>
      </c>
      <c r="Q55" s="425">
        <v>399.11700000000002</v>
      </c>
      <c r="R55" s="431">
        <f>Q55/P55</f>
        <v>1.0927018510254425</v>
      </c>
      <c r="S55" s="432">
        <f>TRUNC((O55*R55),2)</f>
        <v>0.89</v>
      </c>
    </row>
    <row r="56" spans="1:19" ht="15">
      <c r="A56" s="463"/>
      <c r="B56" s="456"/>
      <c r="C56" s="421"/>
      <c r="D56" s="421"/>
      <c r="E56" s="425"/>
      <c r="F56" s="425"/>
      <c r="G56" s="425"/>
      <c r="H56" s="431"/>
      <c r="I56" s="432"/>
      <c r="J56" s="397"/>
      <c r="K56" s="463"/>
      <c r="L56" s="456"/>
      <c r="M56" s="421"/>
      <c r="N56" s="421"/>
      <c r="O56" s="425"/>
      <c r="P56" s="425"/>
      <c r="Q56" s="425"/>
      <c r="R56" s="431"/>
      <c r="S56" s="432"/>
    </row>
    <row r="57" spans="1:19" ht="15">
      <c r="A57" s="463"/>
      <c r="B57" s="456"/>
      <c r="C57" s="421"/>
      <c r="D57" s="421"/>
      <c r="E57" s="421"/>
      <c r="F57" s="425"/>
      <c r="G57" s="425"/>
      <c r="H57" s="431"/>
      <c r="I57" s="432"/>
      <c r="J57" s="397"/>
      <c r="K57" s="463"/>
      <c r="L57" s="456"/>
      <c r="M57" s="421"/>
      <c r="N57" s="421"/>
      <c r="O57" s="425"/>
      <c r="P57" s="425"/>
      <c r="Q57" s="425"/>
      <c r="R57" s="431"/>
      <c r="S57" s="432"/>
    </row>
    <row r="58" spans="1:19" ht="15">
      <c r="A58" s="463"/>
      <c r="B58" s="456"/>
      <c r="C58" s="421"/>
      <c r="D58" s="421"/>
      <c r="E58" s="421"/>
      <c r="F58" s="421"/>
      <c r="G58" s="460"/>
      <c r="H58" s="461"/>
      <c r="I58" s="462"/>
      <c r="J58" s="397"/>
      <c r="K58" s="463"/>
      <c r="L58" s="456"/>
      <c r="M58" s="421"/>
      <c r="N58" s="421"/>
      <c r="O58" s="421"/>
      <c r="P58" s="425"/>
      <c r="Q58" s="425"/>
      <c r="R58" s="431"/>
      <c r="S58" s="432"/>
    </row>
    <row r="59" spans="1:19" ht="15">
      <c r="A59" s="463" t="s">
        <v>447</v>
      </c>
      <c r="B59" s="456"/>
      <c r="C59" s="421"/>
      <c r="D59" s="421"/>
      <c r="E59" s="421"/>
      <c r="F59" s="421"/>
      <c r="G59" s="460"/>
      <c r="H59" s="461"/>
      <c r="I59" s="462"/>
      <c r="J59" s="397"/>
      <c r="K59" s="463"/>
      <c r="L59" s="456"/>
      <c r="M59" s="421"/>
      <c r="N59" s="421"/>
      <c r="O59" s="421"/>
      <c r="P59" s="421"/>
      <c r="Q59" s="460"/>
      <c r="R59" s="461"/>
      <c r="S59" s="462"/>
    </row>
    <row r="60" spans="1:19" ht="15">
      <c r="A60" s="463"/>
      <c r="B60" s="464"/>
      <c r="C60" s="464"/>
      <c r="D60" s="464"/>
      <c r="E60" s="464"/>
      <c r="F60" s="464"/>
      <c r="G60" s="465"/>
      <c r="H60" s="466"/>
      <c r="I60" s="467"/>
      <c r="J60" s="397"/>
      <c r="K60" s="463" t="s">
        <v>447</v>
      </c>
      <c r="L60" s="456"/>
      <c r="M60" s="421"/>
      <c r="N60" s="421"/>
      <c r="O60" s="421"/>
      <c r="P60" s="421"/>
      <c r="Q60" s="460"/>
      <c r="R60" s="461"/>
      <c r="S60" s="462"/>
    </row>
    <row r="61" spans="1:19" ht="15.75" thickBot="1">
      <c r="A61" s="671" t="s">
        <v>14</v>
      </c>
      <c r="B61" s="672"/>
      <c r="C61" s="672"/>
      <c r="D61" s="672"/>
      <c r="E61" s="672"/>
      <c r="F61" s="672"/>
      <c r="G61" s="673"/>
      <c r="H61" s="469"/>
      <c r="I61" s="470">
        <f>SUM(I46:I57)</f>
        <v>620.76</v>
      </c>
      <c r="J61" s="397"/>
      <c r="K61" s="463"/>
      <c r="L61" s="464"/>
      <c r="M61" s="464"/>
      <c r="N61" s="464"/>
      <c r="O61" s="464"/>
      <c r="P61" s="464"/>
      <c r="Q61" s="465"/>
      <c r="R61" s="466"/>
      <c r="S61" s="467"/>
    </row>
    <row r="62" spans="1:19" ht="15.75" thickBot="1">
      <c r="A62" s="474"/>
      <c r="B62" s="475"/>
      <c r="C62" s="475"/>
      <c r="D62" s="475"/>
      <c r="E62" s="475"/>
      <c r="F62" s="475"/>
      <c r="G62" s="475"/>
      <c r="H62" s="475"/>
      <c r="I62" s="476"/>
      <c r="J62" s="397"/>
      <c r="K62" s="671" t="s">
        <v>14</v>
      </c>
      <c r="L62" s="672"/>
      <c r="M62" s="672"/>
      <c r="N62" s="672"/>
      <c r="O62" s="672"/>
      <c r="P62" s="672"/>
      <c r="Q62" s="673"/>
      <c r="R62" s="469"/>
      <c r="S62" s="470">
        <f>SUM(S47:S58)</f>
        <v>697.75</v>
      </c>
    </row>
    <row r="63" spans="1:19" ht="15.75" thickBot="1">
      <c r="A63" s="477" t="s">
        <v>448</v>
      </c>
      <c r="B63" s="658" t="s">
        <v>449</v>
      </c>
      <c r="C63" s="659"/>
      <c r="D63" s="660"/>
      <c r="E63" s="472"/>
      <c r="F63" s="472"/>
      <c r="G63" s="472"/>
      <c r="H63" s="472"/>
      <c r="I63" s="473"/>
      <c r="J63" s="397"/>
      <c r="K63" s="474"/>
      <c r="L63" s="475"/>
      <c r="M63" s="475"/>
      <c r="N63" s="475"/>
      <c r="O63" s="475"/>
      <c r="P63" s="475"/>
      <c r="Q63" s="475"/>
      <c r="R63" s="475"/>
      <c r="S63" s="476"/>
    </row>
    <row r="64" spans="1:19" ht="15">
      <c r="A64" s="478" t="s">
        <v>442</v>
      </c>
      <c r="B64" s="648" t="s">
        <v>443</v>
      </c>
      <c r="C64" s="648"/>
      <c r="D64" s="649"/>
      <c r="E64" s="472"/>
      <c r="F64" s="472"/>
      <c r="G64" s="472"/>
      <c r="H64" s="472"/>
      <c r="I64" s="473"/>
      <c r="J64" s="397"/>
      <c r="K64" s="477" t="s">
        <v>448</v>
      </c>
      <c r="L64" s="658" t="s">
        <v>449</v>
      </c>
      <c r="M64" s="659"/>
      <c r="N64" s="660"/>
      <c r="O64" s="472"/>
      <c r="P64" s="472"/>
      <c r="Q64" s="472"/>
      <c r="R64" s="472"/>
      <c r="S64" s="473"/>
    </row>
    <row r="65" spans="1:19" ht="15">
      <c r="A65" s="478" t="s">
        <v>450</v>
      </c>
      <c r="B65" s="648" t="s">
        <v>451</v>
      </c>
      <c r="C65" s="648"/>
      <c r="D65" s="649"/>
      <c r="E65" s="472"/>
      <c r="F65" s="472"/>
      <c r="G65" s="472"/>
      <c r="H65" s="472"/>
      <c r="I65" s="473"/>
      <c r="J65" s="397"/>
      <c r="K65" s="478" t="s">
        <v>442</v>
      </c>
      <c r="L65" s="650" t="s">
        <v>443</v>
      </c>
      <c r="M65" s="651"/>
      <c r="N65" s="652"/>
      <c r="O65" s="472"/>
      <c r="P65" s="472"/>
      <c r="Q65" s="472"/>
      <c r="R65" s="472"/>
      <c r="S65" s="473"/>
    </row>
    <row r="66" spans="1:19" ht="15.75" thickBot="1">
      <c r="A66" s="480" t="s">
        <v>452</v>
      </c>
      <c r="B66" s="653" t="s">
        <v>453</v>
      </c>
      <c r="C66" s="653"/>
      <c r="D66" s="654"/>
      <c r="E66" s="472"/>
      <c r="F66" s="472"/>
      <c r="G66" s="472"/>
      <c r="H66" s="472"/>
      <c r="I66" s="473"/>
      <c r="J66" s="397"/>
      <c r="K66" s="478" t="s">
        <v>450</v>
      </c>
      <c r="L66" s="650" t="s">
        <v>451</v>
      </c>
      <c r="M66" s="651"/>
      <c r="N66" s="652"/>
      <c r="O66" s="472"/>
      <c r="P66" s="472"/>
      <c r="Q66" s="472"/>
      <c r="R66" s="472"/>
      <c r="S66" s="473"/>
    </row>
    <row r="67" spans="1:19" ht="15.75" thickBot="1">
      <c r="A67" s="481"/>
      <c r="B67" s="482"/>
      <c r="C67" s="482"/>
      <c r="D67" s="482"/>
      <c r="E67" s="482"/>
      <c r="F67" s="482"/>
      <c r="G67" s="482"/>
      <c r="H67" s="482"/>
      <c r="I67" s="483"/>
      <c r="J67" s="397"/>
      <c r="K67" s="480" t="s">
        <v>452</v>
      </c>
      <c r="L67" s="655" t="s">
        <v>453</v>
      </c>
      <c r="M67" s="656"/>
      <c r="N67" s="657"/>
      <c r="O67" s="472"/>
      <c r="P67" s="472"/>
      <c r="Q67" s="472"/>
      <c r="R67" s="472"/>
      <c r="S67" s="473"/>
    </row>
    <row r="68" spans="1:19" ht="15.75" thickBot="1">
      <c r="A68" s="397"/>
      <c r="B68" s="397"/>
      <c r="C68" s="397"/>
      <c r="D68" s="397"/>
      <c r="E68" s="397"/>
      <c r="F68" s="397"/>
      <c r="G68" s="397"/>
      <c r="H68" s="397"/>
      <c r="I68" s="397"/>
      <c r="J68" s="397"/>
      <c r="K68" s="481"/>
      <c r="L68" s="482"/>
      <c r="M68" s="482"/>
      <c r="N68" s="482"/>
      <c r="O68" s="482"/>
      <c r="P68" s="482"/>
      <c r="Q68" s="482"/>
      <c r="R68" s="482"/>
      <c r="S68" s="483"/>
    </row>
  </sheetData>
  <mergeCells count="69">
    <mergeCell ref="B65:D65"/>
    <mergeCell ref="L65:N65"/>
    <mergeCell ref="B66:D66"/>
    <mergeCell ref="L66:N66"/>
    <mergeCell ref="L67:N67"/>
    <mergeCell ref="Q50:Q51"/>
    <mergeCell ref="A61:G61"/>
    <mergeCell ref="K62:Q62"/>
    <mergeCell ref="B63:D63"/>
    <mergeCell ref="B64:D64"/>
    <mergeCell ref="L64:N64"/>
    <mergeCell ref="P50:P51"/>
    <mergeCell ref="E49:E51"/>
    <mergeCell ref="F49:F50"/>
    <mergeCell ref="G49:G50"/>
    <mergeCell ref="O50:O52"/>
    <mergeCell ref="N43:N45"/>
    <mergeCell ref="K42:S42"/>
    <mergeCell ref="K43:K45"/>
    <mergeCell ref="L43:L45"/>
    <mergeCell ref="M43:M45"/>
    <mergeCell ref="A35:I35"/>
    <mergeCell ref="K35:S35"/>
    <mergeCell ref="A36:I36"/>
    <mergeCell ref="K36:S36"/>
    <mergeCell ref="K37:S37"/>
    <mergeCell ref="A41:I41"/>
    <mergeCell ref="A42:A44"/>
    <mergeCell ref="B42:B44"/>
    <mergeCell ref="C42:C44"/>
    <mergeCell ref="D42:D44"/>
    <mergeCell ref="E42:E44"/>
    <mergeCell ref="O43:O45"/>
    <mergeCell ref="O17:O19"/>
    <mergeCell ref="A34:I34"/>
    <mergeCell ref="K34:S34"/>
    <mergeCell ref="Q17:Q18"/>
    <mergeCell ref="A25:G25"/>
    <mergeCell ref="K25:Q25"/>
    <mergeCell ref="B27:D27"/>
    <mergeCell ref="L27:N27"/>
    <mergeCell ref="B28:D28"/>
    <mergeCell ref="L28:N28"/>
    <mergeCell ref="P17:P18"/>
    <mergeCell ref="B29:D29"/>
    <mergeCell ref="L29:N29"/>
    <mergeCell ref="B30:D30"/>
    <mergeCell ref="L30:N30"/>
    <mergeCell ref="A33:I33"/>
    <mergeCell ref="A4:I4"/>
    <mergeCell ref="K4:S4"/>
    <mergeCell ref="A9:I9"/>
    <mergeCell ref="K9:S9"/>
    <mergeCell ref="A10:A12"/>
    <mergeCell ref="B10:B12"/>
    <mergeCell ref="C10:C12"/>
    <mergeCell ref="D10:D12"/>
    <mergeCell ref="E10:E12"/>
    <mergeCell ref="K10:K12"/>
    <mergeCell ref="L10:L12"/>
    <mergeCell ref="M10:M12"/>
    <mergeCell ref="N10:N12"/>
    <mergeCell ref="O10:O12"/>
    <mergeCell ref="A1:I1"/>
    <mergeCell ref="K1:S1"/>
    <mergeCell ref="A2:I2"/>
    <mergeCell ref="K2:S2"/>
    <mergeCell ref="A3:I3"/>
    <mergeCell ref="K3:S3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Z29"/>
  <sheetViews>
    <sheetView workbookViewId="0">
      <selection activeCell="A17" sqref="A17:L17"/>
    </sheetView>
  </sheetViews>
  <sheetFormatPr defaultRowHeight="12.75"/>
  <cols>
    <col min="1" max="1" width="6.85546875" customWidth="1"/>
    <col min="2" max="2" width="9.85546875" customWidth="1"/>
    <col min="3" max="5" width="12" customWidth="1"/>
    <col min="6" max="6" width="12.42578125" customWidth="1"/>
    <col min="7" max="7" width="10.85546875" customWidth="1"/>
    <col min="8" max="8" width="12" customWidth="1"/>
    <col min="9" max="9" width="10.85546875" customWidth="1"/>
    <col min="10" max="10" width="13" customWidth="1"/>
    <col min="11" max="11" width="12" customWidth="1"/>
    <col min="12" max="12" width="13" customWidth="1"/>
    <col min="14" max="15" width="6.85546875" customWidth="1"/>
    <col min="16" max="16" width="9.85546875" customWidth="1"/>
    <col min="17" max="19" width="12" customWidth="1"/>
    <col min="20" max="20" width="12.42578125" customWidth="1"/>
    <col min="21" max="21" width="10.85546875" customWidth="1"/>
    <col min="22" max="22" width="12" customWidth="1"/>
    <col min="23" max="25" width="0" hidden="1" customWidth="1"/>
    <col min="26" max="26" width="13" customWidth="1"/>
  </cols>
  <sheetData>
    <row r="1" spans="1:26">
      <c r="A1" s="704" t="s">
        <v>464</v>
      </c>
      <c r="B1" s="705"/>
      <c r="C1" s="705"/>
      <c r="D1" s="705"/>
      <c r="E1" s="705"/>
      <c r="F1" s="705"/>
      <c r="G1" s="705"/>
      <c r="H1" s="705"/>
      <c r="I1" s="705"/>
      <c r="J1" s="705"/>
      <c r="K1" s="705"/>
      <c r="L1" s="706"/>
      <c r="M1" s="485"/>
      <c r="N1" s="707" t="s">
        <v>465</v>
      </c>
      <c r="O1" s="708"/>
      <c r="P1" s="709"/>
      <c r="Q1" s="709"/>
      <c r="R1" s="709"/>
      <c r="S1" s="709"/>
      <c r="T1" s="709"/>
      <c r="U1" s="709"/>
      <c r="V1" s="709"/>
      <c r="W1" s="709"/>
      <c r="X1" s="709"/>
      <c r="Y1" s="709"/>
      <c r="Z1" s="710"/>
    </row>
    <row r="2" spans="1:26">
      <c r="A2" s="711" t="s">
        <v>466</v>
      </c>
      <c r="B2" s="712"/>
      <c r="C2" s="712"/>
      <c r="D2" s="712"/>
      <c r="E2" s="712"/>
      <c r="F2" s="712"/>
      <c r="G2" s="712"/>
      <c r="H2" s="712"/>
      <c r="I2" s="712"/>
      <c r="J2" s="712"/>
      <c r="K2" s="712"/>
      <c r="L2" s="713"/>
      <c r="M2" s="485"/>
      <c r="N2" s="714"/>
      <c r="O2" s="715"/>
      <c r="P2" s="715"/>
      <c r="Q2" s="715"/>
      <c r="R2" s="715"/>
      <c r="S2" s="715"/>
      <c r="T2" s="715"/>
      <c r="U2" s="715"/>
      <c r="V2" s="715"/>
      <c r="W2" s="715"/>
      <c r="X2" s="715"/>
      <c r="Y2" s="715"/>
      <c r="Z2" s="716"/>
    </row>
    <row r="3" spans="1:26">
      <c r="A3" s="717" t="s">
        <v>467</v>
      </c>
      <c r="B3" s="718"/>
      <c r="C3" s="718"/>
      <c r="D3" s="718"/>
      <c r="E3" s="718"/>
      <c r="F3" s="718"/>
      <c r="G3" s="718"/>
      <c r="H3" s="718"/>
      <c r="I3" s="718"/>
      <c r="J3" s="718"/>
      <c r="K3" s="718"/>
      <c r="L3" s="719"/>
      <c r="M3" s="485"/>
      <c r="N3" s="720" t="s">
        <v>468</v>
      </c>
      <c r="O3" s="721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3"/>
    </row>
    <row r="4" spans="1:26">
      <c r="A4" s="486"/>
      <c r="B4" s="487"/>
      <c r="C4" s="487"/>
      <c r="D4" s="487"/>
      <c r="E4" s="487"/>
      <c r="F4" s="487"/>
      <c r="G4" s="487"/>
      <c r="H4" s="487"/>
      <c r="I4" s="487"/>
      <c r="J4" s="487"/>
      <c r="K4" s="487"/>
      <c r="L4" s="488"/>
      <c r="M4" s="485"/>
      <c r="N4" s="486"/>
      <c r="O4" s="489"/>
      <c r="P4" s="487"/>
      <c r="Q4" s="487"/>
      <c r="R4" s="487"/>
      <c r="S4" s="487"/>
      <c r="T4" s="487"/>
      <c r="U4" s="487"/>
      <c r="V4" s="487"/>
      <c r="W4" s="487"/>
      <c r="X4" s="487"/>
      <c r="Y4" s="487"/>
      <c r="Z4" s="488"/>
    </row>
    <row r="5" spans="1:26" ht="45">
      <c r="A5" s="490" t="s">
        <v>469</v>
      </c>
      <c r="B5" s="491" t="s">
        <v>470</v>
      </c>
      <c r="C5" s="492" t="s">
        <v>471</v>
      </c>
      <c r="D5" s="493" t="s">
        <v>472</v>
      </c>
      <c r="E5" s="493" t="s">
        <v>473</v>
      </c>
      <c r="F5" s="492" t="s">
        <v>474</v>
      </c>
      <c r="G5" s="491" t="s">
        <v>475</v>
      </c>
      <c r="H5" s="491" t="s">
        <v>476</v>
      </c>
      <c r="I5" s="492" t="s">
        <v>477</v>
      </c>
      <c r="J5" s="492" t="s">
        <v>478</v>
      </c>
      <c r="K5" s="494" t="s">
        <v>479</v>
      </c>
      <c r="L5" s="495" t="s">
        <v>480</v>
      </c>
      <c r="M5" s="485"/>
      <c r="N5" s="496" t="s">
        <v>469</v>
      </c>
      <c r="O5" s="496" t="s">
        <v>469</v>
      </c>
      <c r="P5" s="497" t="s">
        <v>470</v>
      </c>
      <c r="Q5" s="498" t="s">
        <v>471</v>
      </c>
      <c r="R5" s="487" t="s">
        <v>472</v>
      </c>
      <c r="S5" s="487" t="s">
        <v>473</v>
      </c>
      <c r="T5" s="498" t="s">
        <v>474</v>
      </c>
      <c r="U5" s="497" t="s">
        <v>475</v>
      </c>
      <c r="V5" s="497" t="s">
        <v>476</v>
      </c>
      <c r="W5" s="498" t="s">
        <v>477</v>
      </c>
      <c r="X5" s="498" t="s">
        <v>478</v>
      </c>
      <c r="Y5" s="487" t="s">
        <v>479</v>
      </c>
      <c r="Z5" s="499" t="s">
        <v>480</v>
      </c>
    </row>
    <row r="6" spans="1:26">
      <c r="A6" s="496" t="s">
        <v>481</v>
      </c>
      <c r="B6" s="500" t="s">
        <v>482</v>
      </c>
      <c r="C6" s="500" t="s">
        <v>483</v>
      </c>
      <c r="D6" s="501">
        <v>3.9208599999999998</v>
      </c>
      <c r="E6" s="502">
        <f>TRUNC(D6*1000,2)</f>
        <v>3920.86</v>
      </c>
      <c r="F6" s="503">
        <v>3.6499999999999998E-2</v>
      </c>
      <c r="G6" s="500" t="s">
        <v>484</v>
      </c>
      <c r="H6" s="502">
        <f>TRUNC(E6/(1-(F6)),2)</f>
        <v>4069.39</v>
      </c>
      <c r="I6" s="504">
        <v>50.92</v>
      </c>
      <c r="J6" s="504">
        <v>0</v>
      </c>
      <c r="K6" s="505" t="s">
        <v>485</v>
      </c>
      <c r="L6" s="506">
        <f>TRUNC((H6+I6+J6)*1.15,2)</f>
        <v>4738.3500000000004</v>
      </c>
      <c r="M6" s="485"/>
      <c r="N6" s="507" t="s">
        <v>486</v>
      </c>
      <c r="O6" s="496" t="s">
        <v>481</v>
      </c>
      <c r="P6" s="497" t="s">
        <v>482</v>
      </c>
      <c r="Q6" s="500" t="s">
        <v>483</v>
      </c>
      <c r="R6" s="501">
        <v>3.9208599999999998</v>
      </c>
      <c r="S6" s="502">
        <f>TRUNC(R6*1000,2)</f>
        <v>3920.86</v>
      </c>
      <c r="T6" s="503">
        <v>3.6499999999999998E-2</v>
      </c>
      <c r="U6" s="500" t="s">
        <v>484</v>
      </c>
      <c r="V6" s="502">
        <f>TRUNC(S6/(1-(T6)),2)</f>
        <v>4069.39</v>
      </c>
      <c r="W6" s="504">
        <v>179.08</v>
      </c>
      <c r="X6" s="504">
        <v>37.770000000000003</v>
      </c>
      <c r="Y6" s="505" t="s">
        <v>485</v>
      </c>
      <c r="Z6" s="506">
        <f>TRUNC((V6)*1.15,2)</f>
        <v>4679.79</v>
      </c>
    </row>
    <row r="7" spans="1:26">
      <c r="A7" s="496" t="s">
        <v>487</v>
      </c>
      <c r="B7" s="508" t="s">
        <v>488</v>
      </c>
      <c r="C7" s="500" t="s">
        <v>483</v>
      </c>
      <c r="D7" s="501">
        <v>5.3972499999999997</v>
      </c>
      <c r="E7" s="502">
        <f>TRUNC(D7*1000,2)</f>
        <v>5397.25</v>
      </c>
      <c r="F7" s="503">
        <v>3.6499999999999998E-2</v>
      </c>
      <c r="G7" s="500" t="s">
        <v>484</v>
      </c>
      <c r="H7" s="502">
        <f>TRUNC(E7/(1-(F7)),2)</f>
        <v>5601.71</v>
      </c>
      <c r="I7" s="504">
        <v>49.09</v>
      </c>
      <c r="J7" s="504">
        <f>[3]TRANSPORTE!I15</f>
        <v>0</v>
      </c>
      <c r="K7" s="505" t="s">
        <v>485</v>
      </c>
      <c r="L7" s="506">
        <f>TRUNC((H7+I7+J7)*1.15,2)</f>
        <v>6498.42</v>
      </c>
      <c r="M7" s="485"/>
      <c r="N7" s="507" t="s">
        <v>489</v>
      </c>
      <c r="O7" s="496" t="s">
        <v>487</v>
      </c>
      <c r="P7" s="497" t="s">
        <v>488</v>
      </c>
      <c r="Q7" s="500" t="s">
        <v>483</v>
      </c>
      <c r="R7" s="501">
        <v>5.3972499999999997</v>
      </c>
      <c r="S7" s="502">
        <f>TRUNC(R7*1000,2)</f>
        <v>5397.25</v>
      </c>
      <c r="T7" s="503">
        <v>3.6499999999999998E-2</v>
      </c>
      <c r="U7" s="500" t="s">
        <v>484</v>
      </c>
      <c r="V7" s="502">
        <f>TRUNC(S7/(1-(T7)),2)</f>
        <v>5601.71</v>
      </c>
      <c r="W7" s="504">
        <v>179.08</v>
      </c>
      <c r="X7" s="504">
        <v>37.770000000000003</v>
      </c>
      <c r="Y7" s="505" t="s">
        <v>485</v>
      </c>
      <c r="Z7" s="506">
        <f>TRUNC((V7)*1.15,2)</f>
        <v>6441.96</v>
      </c>
    </row>
    <row r="8" spans="1:26">
      <c r="A8" s="496" t="s">
        <v>490</v>
      </c>
      <c r="B8" s="509" t="s">
        <v>491</v>
      </c>
      <c r="C8" s="500" t="s">
        <v>492</v>
      </c>
      <c r="D8" s="501">
        <v>2.4532400000000001</v>
      </c>
      <c r="E8" s="502">
        <f>TRUNC(D8*1000,2)</f>
        <v>2453.2399999999998</v>
      </c>
      <c r="F8" s="503">
        <v>3.6499999999999998E-2</v>
      </c>
      <c r="G8" s="500" t="s">
        <v>484</v>
      </c>
      <c r="H8" s="502">
        <f>TRUNC(E8/(1-(F8)),2)</f>
        <v>2546.17</v>
      </c>
      <c r="I8" s="504">
        <v>49.09</v>
      </c>
      <c r="J8" s="504">
        <f>J7</f>
        <v>0</v>
      </c>
      <c r="K8" s="505" t="s">
        <v>485</v>
      </c>
      <c r="L8" s="506">
        <f>TRUNC((H8+I8+J8)*1.15,2)</f>
        <v>2984.54</v>
      </c>
      <c r="M8" s="485"/>
      <c r="N8" s="507" t="s">
        <v>493</v>
      </c>
      <c r="O8" s="496" t="s">
        <v>490</v>
      </c>
      <c r="P8" s="497" t="s">
        <v>491</v>
      </c>
      <c r="Q8" s="500" t="s">
        <v>483</v>
      </c>
      <c r="R8" s="501">
        <v>2.4532400000000001</v>
      </c>
      <c r="S8" s="502">
        <f>TRUNC(R8*1000,2)</f>
        <v>2453.2399999999998</v>
      </c>
      <c r="T8" s="503">
        <v>3.6499999999999998E-2</v>
      </c>
      <c r="U8" s="500" t="s">
        <v>484</v>
      </c>
      <c r="V8" s="502">
        <f>TRUNC(S8/(1-(T8)),2)</f>
        <v>2546.17</v>
      </c>
      <c r="W8" s="504">
        <v>179.08</v>
      </c>
      <c r="X8" s="504">
        <v>37.770000000000003</v>
      </c>
      <c r="Y8" s="505" t="s">
        <v>485</v>
      </c>
      <c r="Z8" s="506">
        <f>TRUNC((V8)*1.15,2)</f>
        <v>2928.09</v>
      </c>
    </row>
    <row r="9" spans="1:26" ht="13.5" thickBot="1">
      <c r="A9" s="711" t="s">
        <v>494</v>
      </c>
      <c r="B9" s="712"/>
      <c r="C9" s="712"/>
      <c r="D9" s="712"/>
      <c r="E9" s="712"/>
      <c r="F9" s="712"/>
      <c r="G9" s="712"/>
      <c r="H9" s="712"/>
      <c r="I9" s="712"/>
      <c r="J9" s="712"/>
      <c r="K9" s="712"/>
      <c r="L9" s="713"/>
      <c r="M9" s="485"/>
      <c r="N9" s="510"/>
      <c r="O9" s="511"/>
      <c r="P9" s="511"/>
      <c r="Q9" s="511"/>
      <c r="R9" s="511"/>
      <c r="S9" s="511"/>
      <c r="T9" s="511"/>
      <c r="U9" s="511"/>
      <c r="V9" s="511"/>
      <c r="W9" s="511"/>
      <c r="X9" s="511"/>
      <c r="Y9" s="511"/>
      <c r="Z9" s="512"/>
    </row>
    <row r="10" spans="1:26">
      <c r="A10" s="717" t="s">
        <v>467</v>
      </c>
      <c r="B10" s="718"/>
      <c r="C10" s="718"/>
      <c r="D10" s="718"/>
      <c r="E10" s="718"/>
      <c r="F10" s="718"/>
      <c r="G10" s="718"/>
      <c r="H10" s="718"/>
      <c r="I10" s="718"/>
      <c r="J10" s="718"/>
      <c r="K10" s="718"/>
      <c r="L10" s="719"/>
      <c r="M10" s="485"/>
      <c r="N10" s="485"/>
      <c r="O10" s="485"/>
      <c r="P10" s="485"/>
      <c r="Q10" s="485"/>
      <c r="R10" s="485"/>
      <c r="S10" s="485"/>
      <c r="T10" s="485"/>
      <c r="U10" s="485"/>
      <c r="V10" s="485"/>
      <c r="W10" s="485"/>
      <c r="X10" s="485"/>
      <c r="Y10" s="485"/>
      <c r="Z10" s="485"/>
    </row>
    <row r="11" spans="1:26">
      <c r="A11" s="486"/>
      <c r="B11" s="487"/>
      <c r="C11" s="487"/>
      <c r="D11" s="487"/>
      <c r="E11" s="487"/>
      <c r="F11" s="487"/>
      <c r="G11" s="487"/>
      <c r="H11" s="487"/>
      <c r="I11" s="487"/>
      <c r="J11" s="487"/>
      <c r="K11" s="487"/>
      <c r="L11" s="488"/>
      <c r="M11" s="485"/>
      <c r="N11" s="485"/>
      <c r="O11" s="485"/>
      <c r="P11" s="485"/>
      <c r="Q11" s="485"/>
      <c r="R11" s="485"/>
      <c r="S11" s="485"/>
      <c r="T11" s="485"/>
      <c r="U11" s="485"/>
      <c r="V11" s="485"/>
      <c r="W11" s="485"/>
      <c r="X11" s="485"/>
      <c r="Y11" s="485"/>
      <c r="Z11" s="485"/>
    </row>
    <row r="12" spans="1:26" ht="27">
      <c r="A12" s="490" t="s">
        <v>469</v>
      </c>
      <c r="B12" s="491" t="s">
        <v>470</v>
      </c>
      <c r="C12" s="492" t="s">
        <v>471</v>
      </c>
      <c r="D12" s="493" t="s">
        <v>472</v>
      </c>
      <c r="E12" s="493" t="s">
        <v>473</v>
      </c>
      <c r="F12" s="492" t="s">
        <v>474</v>
      </c>
      <c r="G12" s="491" t="s">
        <v>475</v>
      </c>
      <c r="H12" s="491" t="s">
        <v>476</v>
      </c>
      <c r="I12" s="492" t="s">
        <v>477</v>
      </c>
      <c r="J12" s="492" t="s">
        <v>478</v>
      </c>
      <c r="K12" s="494" t="s">
        <v>479</v>
      </c>
      <c r="L12" s="495" t="s">
        <v>480</v>
      </c>
      <c r="M12" s="485"/>
      <c r="N12" s="485"/>
      <c r="O12" s="485"/>
      <c r="P12" s="485"/>
      <c r="Q12" s="485"/>
      <c r="R12" s="485"/>
      <c r="S12" s="485"/>
      <c r="T12" s="485"/>
      <c r="U12" s="485"/>
      <c r="V12" s="485"/>
      <c r="W12" s="485"/>
      <c r="X12" s="485"/>
      <c r="Y12" s="485"/>
      <c r="Z12" s="485"/>
    </row>
    <row r="13" spans="1:26">
      <c r="A13" s="496" t="s">
        <v>481</v>
      </c>
      <c r="B13" s="500" t="s">
        <v>482</v>
      </c>
      <c r="C13" s="500" t="s">
        <v>483</v>
      </c>
      <c r="D13" s="501">
        <v>3.3078099999999999</v>
      </c>
      <c r="E13" s="502">
        <f>TRUNC(D13*1000,2)</f>
        <v>3307.81</v>
      </c>
      <c r="F13" s="503">
        <v>3.6499999999999998E-2</v>
      </c>
      <c r="G13" s="515" t="s">
        <v>495</v>
      </c>
      <c r="H13" s="502">
        <f>TRUNC(E13/(1-(F13)),2)</f>
        <v>3433.11</v>
      </c>
      <c r="I13" s="504">
        <v>750.87</v>
      </c>
      <c r="J13" s="504">
        <v>0</v>
      </c>
      <c r="K13" s="505" t="s">
        <v>485</v>
      </c>
      <c r="L13" s="506">
        <f>TRUNC((H13+I13+J13)*1.15,2)</f>
        <v>4811.57</v>
      </c>
      <c r="M13" s="485"/>
      <c r="N13" s="485"/>
      <c r="O13" s="485"/>
      <c r="P13" s="485"/>
      <c r="Q13" s="485"/>
      <c r="R13" s="485"/>
      <c r="S13" s="485"/>
      <c r="T13" s="485"/>
      <c r="U13" s="485"/>
      <c r="V13" s="485"/>
      <c r="W13" s="485"/>
      <c r="X13" s="485"/>
      <c r="Y13" s="485"/>
      <c r="Z13" s="485"/>
    </row>
    <row r="14" spans="1:26">
      <c r="A14" s="513" t="s">
        <v>487</v>
      </c>
      <c r="B14" s="514" t="s">
        <v>488</v>
      </c>
      <c r="C14" s="515" t="s">
        <v>483</v>
      </c>
      <c r="D14" s="501">
        <v>4.7806300000000004</v>
      </c>
      <c r="E14" s="516">
        <f>TRUNC(D14*1000,2)</f>
        <v>4780.63</v>
      </c>
      <c r="F14" s="517">
        <v>0.2165</v>
      </c>
      <c r="G14" s="515" t="s">
        <v>495</v>
      </c>
      <c r="H14" s="516">
        <f>TRUNC(E14/(1-(F14)),2)</f>
        <v>6101.63</v>
      </c>
      <c r="I14" s="518">
        <f>[3]TRANSPORTE!I61-J14</f>
        <v>590.91999999999996</v>
      </c>
      <c r="J14" s="518">
        <f>[3]TRANSPORTE!I47</f>
        <v>0</v>
      </c>
      <c r="K14" s="519" t="s">
        <v>485</v>
      </c>
      <c r="L14" s="520">
        <f>TRUNC((H14+I14+J14)*1.15,2)</f>
        <v>7696.43</v>
      </c>
      <c r="M14" s="521"/>
      <c r="N14" s="485"/>
      <c r="O14" s="485"/>
      <c r="P14" s="485"/>
      <c r="Q14" s="485"/>
      <c r="R14" s="485"/>
      <c r="S14" s="485"/>
      <c r="T14" s="485"/>
      <c r="U14" s="485"/>
      <c r="V14" s="485"/>
      <c r="W14" s="485"/>
      <c r="X14" s="485"/>
      <c r="Y14" s="485"/>
      <c r="Z14" s="485"/>
    </row>
    <row r="15" spans="1:26">
      <c r="A15" s="496" t="s">
        <v>490</v>
      </c>
      <c r="B15" s="509" t="s">
        <v>496</v>
      </c>
      <c r="C15" s="500" t="s">
        <v>492</v>
      </c>
      <c r="D15" s="501">
        <v>2.4879199999999999</v>
      </c>
      <c r="E15" s="502">
        <f>TRUNC(D15*1000,2)</f>
        <v>2487.92</v>
      </c>
      <c r="F15" s="503">
        <v>0.2165</v>
      </c>
      <c r="G15" s="500" t="s">
        <v>495</v>
      </c>
      <c r="H15" s="502">
        <f>TRUNC(E15/(1-(F15)),2)</f>
        <v>3175.39</v>
      </c>
      <c r="I15" s="504">
        <f>I14</f>
        <v>590.91999999999996</v>
      </c>
      <c r="J15" s="504">
        <f>J14</f>
        <v>0</v>
      </c>
      <c r="K15" s="505" t="s">
        <v>485</v>
      </c>
      <c r="L15" s="506">
        <f>TRUNC((H15+I15+J15)*1.15,2)</f>
        <v>4331.25</v>
      </c>
      <c r="M15" s="485"/>
      <c r="N15" s="485"/>
      <c r="O15" s="485"/>
      <c r="P15" s="485"/>
      <c r="Q15" s="485"/>
      <c r="R15" s="485"/>
      <c r="S15" s="485"/>
      <c r="T15" s="485"/>
      <c r="U15" s="485"/>
      <c r="V15" s="485"/>
      <c r="W15" s="485"/>
      <c r="X15" s="485"/>
      <c r="Y15" s="485"/>
      <c r="Z15" s="485"/>
    </row>
    <row r="16" spans="1:26">
      <c r="A16" s="711" t="s">
        <v>497</v>
      </c>
      <c r="B16" s="712"/>
      <c r="C16" s="712"/>
      <c r="D16" s="712"/>
      <c r="E16" s="712"/>
      <c r="F16" s="712"/>
      <c r="G16" s="712"/>
      <c r="H16" s="712"/>
      <c r="I16" s="712"/>
      <c r="J16" s="712"/>
      <c r="K16" s="712"/>
      <c r="L16" s="713"/>
      <c r="M16" s="485"/>
      <c r="N16" s="485"/>
      <c r="O16" s="485"/>
      <c r="P16" s="485"/>
      <c r="Q16" s="485"/>
      <c r="R16" s="485"/>
      <c r="S16" s="485"/>
      <c r="T16" s="485"/>
      <c r="U16" s="485"/>
      <c r="V16" s="485"/>
      <c r="W16" s="485"/>
      <c r="X16" s="485"/>
      <c r="Y16" s="485"/>
      <c r="Z16" s="485"/>
    </row>
    <row r="17" spans="1:26">
      <c r="A17" s="717" t="s">
        <v>467</v>
      </c>
      <c r="B17" s="718"/>
      <c r="C17" s="718"/>
      <c r="D17" s="718"/>
      <c r="E17" s="718"/>
      <c r="F17" s="718"/>
      <c r="G17" s="718"/>
      <c r="H17" s="718"/>
      <c r="I17" s="718"/>
      <c r="J17" s="718"/>
      <c r="K17" s="718"/>
      <c r="L17" s="719"/>
      <c r="M17" s="485"/>
      <c r="N17" s="485"/>
      <c r="O17" s="485"/>
      <c r="P17" s="485"/>
      <c r="Q17" s="485"/>
      <c r="R17" s="485"/>
      <c r="S17" s="485"/>
      <c r="T17" s="485"/>
      <c r="U17" s="485"/>
      <c r="V17" s="485"/>
      <c r="W17" s="485"/>
      <c r="X17" s="485"/>
      <c r="Y17" s="485"/>
      <c r="Z17" s="485"/>
    </row>
    <row r="18" spans="1:26">
      <c r="A18" s="486"/>
      <c r="B18" s="487"/>
      <c r="C18" s="487"/>
      <c r="D18" s="487"/>
      <c r="E18" s="487"/>
      <c r="F18" s="487"/>
      <c r="G18" s="487"/>
      <c r="H18" s="487"/>
      <c r="I18" s="487"/>
      <c r="J18" s="487"/>
      <c r="K18" s="487"/>
      <c r="L18" s="488"/>
      <c r="M18" s="485"/>
      <c r="N18" s="485"/>
      <c r="O18" s="485"/>
      <c r="P18" s="485"/>
      <c r="Q18" s="485"/>
      <c r="R18" s="485"/>
      <c r="S18" s="485"/>
      <c r="T18" s="485"/>
      <c r="U18" s="485"/>
      <c r="V18" s="485"/>
      <c r="W18" s="485"/>
      <c r="X18" s="485"/>
      <c r="Y18" s="485"/>
      <c r="Z18" s="485"/>
    </row>
    <row r="19" spans="1:26" ht="27">
      <c r="A19" s="490" t="s">
        <v>469</v>
      </c>
      <c r="B19" s="491" t="s">
        <v>470</v>
      </c>
      <c r="C19" s="492" t="s">
        <v>471</v>
      </c>
      <c r="D19" s="493" t="s">
        <v>472</v>
      </c>
      <c r="E19" s="493" t="s">
        <v>473</v>
      </c>
      <c r="F19" s="492" t="s">
        <v>474</v>
      </c>
      <c r="G19" s="491" t="s">
        <v>475</v>
      </c>
      <c r="H19" s="491" t="s">
        <v>476</v>
      </c>
      <c r="I19" s="492" t="s">
        <v>477</v>
      </c>
      <c r="J19" s="492" t="s">
        <v>478</v>
      </c>
      <c r="K19" s="494" t="s">
        <v>479</v>
      </c>
      <c r="L19" s="495" t="s">
        <v>480</v>
      </c>
      <c r="M19" s="485"/>
      <c r="N19" s="485"/>
      <c r="O19" s="485"/>
      <c r="P19" s="485"/>
      <c r="Q19" s="485"/>
      <c r="R19" s="485"/>
      <c r="S19" s="485"/>
      <c r="T19" s="485"/>
      <c r="U19" s="485"/>
      <c r="V19" s="485"/>
      <c r="W19" s="485"/>
      <c r="X19" s="485"/>
      <c r="Y19" s="485"/>
      <c r="Z19" s="485"/>
    </row>
    <row r="20" spans="1:26">
      <c r="A20" s="522" t="s">
        <v>481</v>
      </c>
      <c r="B20" s="500" t="s">
        <v>482</v>
      </c>
      <c r="C20" s="500" t="s">
        <v>483</v>
      </c>
      <c r="D20" s="501">
        <v>3.5497999999999998</v>
      </c>
      <c r="E20" s="502">
        <f>TRUNC(D20*1000,2)</f>
        <v>3549.8</v>
      </c>
      <c r="F20" s="503">
        <v>3.6499999999999998E-2</v>
      </c>
      <c r="G20" s="500" t="s">
        <v>498</v>
      </c>
      <c r="H20" s="502">
        <f>TRUNC(E20/(1-(F20)),2)</f>
        <v>3684.27</v>
      </c>
      <c r="I20" s="504">
        <f>[3]TRANSPORTE!S62</f>
        <v>664.2</v>
      </c>
      <c r="J20" s="504">
        <v>0</v>
      </c>
      <c r="K20" s="505" t="s">
        <v>485</v>
      </c>
      <c r="L20" s="506">
        <f>TRUNC((H20+I20+J20)*1.15,2)</f>
        <v>5000.74</v>
      </c>
      <c r="M20" s="485"/>
      <c r="N20" s="485"/>
      <c r="O20" s="485"/>
      <c r="P20" s="485"/>
      <c r="Q20" s="485"/>
      <c r="R20" s="485"/>
      <c r="S20" s="485"/>
      <c r="T20" s="485"/>
      <c r="U20" s="485"/>
      <c r="V20" s="485"/>
      <c r="W20" s="485"/>
      <c r="X20" s="485"/>
      <c r="Y20" s="485"/>
      <c r="Z20" s="485"/>
    </row>
    <row r="21" spans="1:26">
      <c r="A21" s="522" t="s">
        <v>487</v>
      </c>
      <c r="B21" s="508" t="s">
        <v>488</v>
      </c>
      <c r="C21" s="500" t="s">
        <v>483</v>
      </c>
      <c r="D21" s="501">
        <v>5.0103799999999996</v>
      </c>
      <c r="E21" s="502">
        <f>TRUNC(D21*1000,2)</f>
        <v>5010.38</v>
      </c>
      <c r="F21" s="503">
        <v>0.2165</v>
      </c>
      <c r="G21" s="500" t="s">
        <v>498</v>
      </c>
      <c r="H21" s="502">
        <f>TRUNC(E21/(1-(F21)),2)</f>
        <v>6394.86</v>
      </c>
      <c r="I21" s="504">
        <f>[3]TRANSPORTE!S62-J21</f>
        <v>664.2</v>
      </c>
      <c r="J21" s="504">
        <f>[3]TRANSPORTE!S48</f>
        <v>0</v>
      </c>
      <c r="K21" s="505" t="s">
        <v>485</v>
      </c>
      <c r="L21" s="506">
        <f>TRUNC((H21+I21+J21)*1.15,2)</f>
        <v>8117.91</v>
      </c>
      <c r="M21" s="485"/>
      <c r="N21" s="485"/>
      <c r="O21" s="485"/>
      <c r="P21" s="485"/>
      <c r="Q21" s="485"/>
      <c r="R21" s="485"/>
      <c r="S21" s="485"/>
      <c r="T21" s="485"/>
      <c r="U21" s="485"/>
      <c r="V21" s="485"/>
      <c r="W21" s="485"/>
      <c r="X21" s="485"/>
      <c r="Y21" s="485"/>
      <c r="Z21" s="485"/>
    </row>
    <row r="22" spans="1:26">
      <c r="A22" s="522" t="s">
        <v>490</v>
      </c>
      <c r="B22" s="509" t="s">
        <v>496</v>
      </c>
      <c r="C22" s="500" t="s">
        <v>492</v>
      </c>
      <c r="D22" s="501">
        <v>2.6737600000000001</v>
      </c>
      <c r="E22" s="502">
        <f>TRUNC(D22*1000,2)</f>
        <v>2673.76</v>
      </c>
      <c r="F22" s="503">
        <v>0.2165</v>
      </c>
      <c r="G22" s="500" t="s">
        <v>498</v>
      </c>
      <c r="H22" s="502">
        <f>TRUNC(E22/(1-(F22)),2)</f>
        <v>3412.58</v>
      </c>
      <c r="I22" s="504">
        <f>I21</f>
        <v>664.2</v>
      </c>
      <c r="J22" s="504">
        <f>J21</f>
        <v>0</v>
      </c>
      <c r="K22" s="505" t="s">
        <v>485</v>
      </c>
      <c r="L22" s="506">
        <f>TRUNC((H22+I22+J22)*1.15,2)</f>
        <v>4688.29</v>
      </c>
      <c r="M22" s="485"/>
      <c r="N22" s="485"/>
      <c r="O22" s="485"/>
      <c r="P22" s="485"/>
      <c r="Q22" s="485"/>
      <c r="R22" s="485"/>
      <c r="S22" s="485"/>
      <c r="T22" s="485"/>
      <c r="U22" s="485"/>
      <c r="V22" s="485"/>
      <c r="W22" s="485"/>
      <c r="X22" s="485"/>
      <c r="Y22" s="485"/>
      <c r="Z22" s="485"/>
    </row>
    <row r="23" spans="1:26">
      <c r="A23" s="724" t="s">
        <v>499</v>
      </c>
      <c r="B23" s="725"/>
      <c r="C23" s="725"/>
      <c r="D23" s="725"/>
      <c r="E23" s="725"/>
      <c r="F23" s="725"/>
      <c r="G23" s="725"/>
      <c r="H23" s="725"/>
      <c r="I23" s="725"/>
      <c r="J23" s="725"/>
      <c r="K23" s="725"/>
      <c r="L23" s="726"/>
      <c r="M23" s="485"/>
      <c r="N23" s="485"/>
      <c r="O23" s="485"/>
      <c r="P23" s="485"/>
      <c r="Q23" s="485"/>
      <c r="R23" s="485"/>
      <c r="S23" s="485"/>
      <c r="T23" s="485"/>
      <c r="U23" s="485"/>
      <c r="V23" s="485"/>
      <c r="W23" s="485"/>
      <c r="X23" s="485"/>
      <c r="Y23" s="485"/>
      <c r="Z23" s="485"/>
    </row>
    <row r="24" spans="1:26" ht="13.5" thickBot="1">
      <c r="A24" s="701"/>
      <c r="B24" s="702"/>
      <c r="C24" s="702"/>
      <c r="D24" s="702"/>
      <c r="E24" s="702"/>
      <c r="F24" s="702"/>
      <c r="G24" s="702"/>
      <c r="H24" s="702"/>
      <c r="I24" s="702"/>
      <c r="J24" s="702"/>
      <c r="K24" s="702"/>
      <c r="L24" s="703"/>
      <c r="M24" s="485"/>
      <c r="N24" s="485"/>
      <c r="O24" s="485"/>
      <c r="P24" s="485"/>
      <c r="Q24" s="485"/>
      <c r="R24" s="485"/>
      <c r="S24" s="485"/>
      <c r="T24" s="485"/>
      <c r="U24" s="485"/>
      <c r="V24" s="485"/>
      <c r="W24" s="485"/>
      <c r="X24" s="485"/>
      <c r="Y24" s="485"/>
      <c r="Z24" s="485"/>
    </row>
    <row r="25" spans="1:26">
      <c r="A25" s="523" t="s">
        <v>500</v>
      </c>
      <c r="B25" s="524"/>
      <c r="C25" s="524"/>
      <c r="D25" s="524"/>
      <c r="E25" s="524"/>
      <c r="F25" s="524"/>
      <c r="G25" s="524"/>
      <c r="H25" s="524"/>
      <c r="I25" s="524"/>
      <c r="J25" s="524"/>
      <c r="K25" s="524"/>
      <c r="L25" s="525"/>
      <c r="M25" s="485"/>
      <c r="N25" s="485"/>
      <c r="O25" s="485"/>
      <c r="P25" s="485"/>
      <c r="Q25" s="485"/>
      <c r="R25" s="485"/>
      <c r="S25" s="485"/>
      <c r="T25" s="485"/>
      <c r="U25" s="485"/>
      <c r="V25" s="485"/>
      <c r="W25" s="485"/>
      <c r="X25" s="485"/>
      <c r="Y25" s="485"/>
      <c r="Z25" s="485"/>
    </row>
    <row r="26" spans="1:26">
      <c r="A26" s="526" t="s">
        <v>501</v>
      </c>
      <c r="B26" s="521"/>
      <c r="C26" s="521"/>
      <c r="D26" s="521"/>
      <c r="E26" s="521"/>
      <c r="F26" s="521"/>
      <c r="G26" s="521"/>
      <c r="H26" s="521"/>
      <c r="I26" s="521"/>
      <c r="J26" s="521"/>
      <c r="K26" s="521"/>
      <c r="L26" s="527"/>
      <c r="M26" s="485"/>
      <c r="N26" s="485"/>
      <c r="O26" s="485"/>
      <c r="P26" s="485"/>
      <c r="Q26" s="485"/>
      <c r="R26" s="485"/>
      <c r="S26" s="485"/>
      <c r="T26" s="485"/>
      <c r="U26" s="485"/>
      <c r="V26" s="485"/>
      <c r="W26" s="485"/>
      <c r="X26" s="485"/>
      <c r="Y26" s="485"/>
      <c r="Z26" s="485"/>
    </row>
    <row r="27" spans="1:26">
      <c r="A27" s="526" t="s">
        <v>502</v>
      </c>
      <c r="B27" s="521"/>
      <c r="C27" s="521"/>
      <c r="D27" s="521"/>
      <c r="E27" s="521"/>
      <c r="F27" s="521"/>
      <c r="G27" s="521"/>
      <c r="H27" s="521"/>
      <c r="I27" s="521"/>
      <c r="J27" s="521"/>
      <c r="K27" s="521"/>
      <c r="L27" s="527"/>
      <c r="M27" s="485"/>
      <c r="N27" s="485"/>
      <c r="O27" s="485"/>
      <c r="P27" s="485"/>
      <c r="Q27" s="485"/>
      <c r="R27" s="485"/>
      <c r="S27" s="485"/>
      <c r="T27" s="485"/>
      <c r="U27" s="485"/>
      <c r="V27" s="485"/>
      <c r="W27" s="485"/>
      <c r="X27" s="485"/>
      <c r="Y27" s="485"/>
      <c r="Z27" s="485"/>
    </row>
    <row r="28" spans="1:26">
      <c r="A28" s="526" t="s">
        <v>503</v>
      </c>
      <c r="B28" s="521"/>
      <c r="C28" s="521"/>
      <c r="D28" s="521"/>
      <c r="E28" s="521"/>
      <c r="F28" s="521"/>
      <c r="G28" s="521"/>
      <c r="H28" s="521"/>
      <c r="I28" s="521"/>
      <c r="J28" s="521"/>
      <c r="K28" s="521"/>
      <c r="L28" s="527"/>
      <c r="M28" s="485"/>
      <c r="N28" s="485"/>
      <c r="O28" s="485"/>
      <c r="P28" s="485"/>
      <c r="Q28" s="485"/>
      <c r="R28" s="485"/>
      <c r="S28" s="485"/>
      <c r="T28" s="485"/>
      <c r="U28" s="485"/>
      <c r="V28" s="485"/>
      <c r="W28" s="485"/>
      <c r="X28" s="485"/>
      <c r="Y28" s="485"/>
      <c r="Z28" s="485"/>
    </row>
    <row r="29" spans="1:26" ht="13.5" thickBot="1">
      <c r="A29" s="528" t="s">
        <v>504</v>
      </c>
      <c r="B29" s="529"/>
      <c r="C29" s="529"/>
      <c r="D29" s="529"/>
      <c r="E29" s="529"/>
      <c r="F29" s="529"/>
      <c r="G29" s="529"/>
      <c r="H29" s="529"/>
      <c r="I29" s="529"/>
      <c r="J29" s="529"/>
      <c r="K29" s="529"/>
      <c r="L29" s="530"/>
      <c r="M29" s="485"/>
      <c r="N29" s="485"/>
      <c r="O29" s="485"/>
      <c r="P29" s="485"/>
      <c r="Q29" s="485"/>
      <c r="R29" s="485"/>
      <c r="S29" s="485"/>
      <c r="T29" s="485"/>
      <c r="U29" s="485"/>
      <c r="V29" s="485"/>
      <c r="W29" s="485"/>
      <c r="X29" s="485"/>
      <c r="Y29" s="485"/>
      <c r="Z29" s="485"/>
    </row>
  </sheetData>
  <mergeCells count="12">
    <mergeCell ref="A24:L24"/>
    <mergeCell ref="A1:L1"/>
    <mergeCell ref="N1:Z1"/>
    <mergeCell ref="A2:L2"/>
    <mergeCell ref="N2:Z2"/>
    <mergeCell ref="A3:L3"/>
    <mergeCell ref="N3:Z3"/>
    <mergeCell ref="A9:L9"/>
    <mergeCell ref="A10:L10"/>
    <mergeCell ref="A16:L16"/>
    <mergeCell ref="A17:L17"/>
    <mergeCell ref="A23:L2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5"/>
  <dimension ref="A1:Y56"/>
  <sheetViews>
    <sheetView zoomScaleNormal="100" zoomScaleSheetLayoutView="110" workbookViewId="0">
      <selection activeCell="AC36" sqref="AC36"/>
    </sheetView>
  </sheetViews>
  <sheetFormatPr defaultRowHeight="12.75"/>
  <cols>
    <col min="1" max="1" width="5.85546875" customWidth="1"/>
    <col min="2" max="2" width="6.140625" customWidth="1"/>
    <col min="3" max="3" width="28.5703125" customWidth="1"/>
    <col min="4" max="4" width="9.28515625" customWidth="1"/>
    <col min="5" max="5" width="13.85546875" customWidth="1"/>
    <col min="6" max="23" width="4.7109375" customWidth="1"/>
    <col min="24" max="24" width="19.140625" customWidth="1"/>
    <col min="25" max="25" width="18.7109375" customWidth="1"/>
  </cols>
  <sheetData>
    <row r="1" spans="1:25" ht="12.75" customHeight="1">
      <c r="A1" s="768" t="s">
        <v>81</v>
      </c>
      <c r="B1" s="769"/>
      <c r="C1" s="769"/>
      <c r="D1" s="769"/>
      <c r="E1" s="770"/>
      <c r="F1" s="757" t="s">
        <v>183</v>
      </c>
      <c r="G1" s="758"/>
      <c r="H1" s="758"/>
      <c r="I1" s="758"/>
      <c r="J1" s="758"/>
      <c r="K1" s="758"/>
      <c r="L1" s="758"/>
      <c r="M1" s="758"/>
      <c r="N1" s="758"/>
      <c r="O1" s="758"/>
      <c r="P1" s="758"/>
      <c r="Q1" s="758"/>
      <c r="R1" s="758"/>
      <c r="S1" s="758"/>
      <c r="T1" s="758"/>
      <c r="U1" s="758"/>
      <c r="V1" s="758"/>
      <c r="W1" s="758"/>
      <c r="X1" s="357"/>
      <c r="Y1" s="358"/>
    </row>
    <row r="2" spans="1:25" ht="12.75" customHeight="1">
      <c r="A2" s="771"/>
      <c r="B2" s="772"/>
      <c r="C2" s="772"/>
      <c r="D2" s="772"/>
      <c r="E2" s="773"/>
      <c r="F2" s="759"/>
      <c r="G2" s="760"/>
      <c r="H2" s="760"/>
      <c r="I2" s="760"/>
      <c r="J2" s="760"/>
      <c r="K2" s="760"/>
      <c r="L2" s="760"/>
      <c r="M2" s="760"/>
      <c r="N2" s="760"/>
      <c r="O2" s="760"/>
      <c r="P2" s="760"/>
      <c r="Q2" s="760"/>
      <c r="R2" s="760"/>
      <c r="S2" s="760"/>
      <c r="T2" s="760"/>
      <c r="U2" s="760"/>
      <c r="V2" s="760"/>
      <c r="W2" s="760"/>
      <c r="X2" s="359"/>
      <c r="Y2" s="360"/>
    </row>
    <row r="3" spans="1:25" ht="12.75" customHeight="1">
      <c r="A3" s="774"/>
      <c r="B3" s="775"/>
      <c r="C3" s="775"/>
      <c r="D3" s="775"/>
      <c r="E3" s="776"/>
      <c r="F3" s="761"/>
      <c r="G3" s="762"/>
      <c r="H3" s="762"/>
      <c r="I3" s="762"/>
      <c r="J3" s="762"/>
      <c r="K3" s="762"/>
      <c r="L3" s="762"/>
      <c r="M3" s="762"/>
      <c r="N3" s="762"/>
      <c r="O3" s="762"/>
      <c r="P3" s="762"/>
      <c r="Q3" s="762"/>
      <c r="R3" s="762"/>
      <c r="S3" s="762"/>
      <c r="T3" s="762"/>
      <c r="U3" s="762"/>
      <c r="V3" s="762"/>
      <c r="W3" s="762"/>
      <c r="X3" s="359"/>
      <c r="Y3" s="360"/>
    </row>
    <row r="4" spans="1:25" ht="18">
      <c r="A4" s="763" t="s">
        <v>612</v>
      </c>
      <c r="B4" s="764"/>
      <c r="C4" s="764"/>
      <c r="D4" s="764"/>
      <c r="E4" s="764"/>
      <c r="F4" s="764"/>
      <c r="G4" s="764"/>
      <c r="H4" s="764"/>
      <c r="I4" s="764"/>
      <c r="J4" s="764"/>
      <c r="K4" s="764"/>
      <c r="L4" s="764"/>
      <c r="M4" s="764"/>
      <c r="N4" s="764"/>
      <c r="O4" s="764"/>
      <c r="P4" s="764"/>
      <c r="Q4" s="764"/>
      <c r="R4" s="764"/>
      <c r="S4" s="764"/>
      <c r="T4" s="764"/>
      <c r="U4" s="764"/>
      <c r="V4" s="764"/>
      <c r="W4" s="764"/>
      <c r="X4" s="359"/>
      <c r="Y4" s="360"/>
    </row>
    <row r="5" spans="1:25" ht="15.75">
      <c r="A5" s="777"/>
      <c r="B5" s="778"/>
      <c r="C5" s="778"/>
      <c r="D5" s="778"/>
      <c r="E5" s="779"/>
      <c r="F5" s="765" t="s">
        <v>92</v>
      </c>
      <c r="G5" s="765"/>
      <c r="H5" s="765"/>
      <c r="I5" s="765"/>
      <c r="J5" s="765"/>
      <c r="K5" s="765"/>
      <c r="L5" s="765"/>
      <c r="M5" s="765"/>
      <c r="N5" s="765"/>
      <c r="O5" s="765"/>
      <c r="P5" s="765"/>
      <c r="Q5" s="765"/>
      <c r="R5" s="765"/>
      <c r="S5" s="765"/>
      <c r="T5" s="765"/>
      <c r="U5" s="765"/>
      <c r="V5" s="765"/>
      <c r="W5" s="765"/>
      <c r="X5" s="359"/>
      <c r="Y5" s="360"/>
    </row>
    <row r="6" spans="1:25">
      <c r="A6" s="366" t="s">
        <v>93</v>
      </c>
      <c r="B6" s="780" t="s">
        <v>94</v>
      </c>
      <c r="C6" s="781"/>
      <c r="D6" s="60" t="s">
        <v>95</v>
      </c>
      <c r="E6" s="60" t="s">
        <v>96</v>
      </c>
      <c r="F6" s="767">
        <v>30</v>
      </c>
      <c r="G6" s="767"/>
      <c r="H6" s="767"/>
      <c r="I6" s="767">
        <v>60</v>
      </c>
      <c r="J6" s="767"/>
      <c r="K6" s="767"/>
      <c r="L6" s="767">
        <v>90</v>
      </c>
      <c r="M6" s="767"/>
      <c r="N6" s="767"/>
      <c r="O6" s="766">
        <v>120</v>
      </c>
      <c r="P6" s="767"/>
      <c r="Q6" s="767"/>
      <c r="R6" s="766">
        <v>150</v>
      </c>
      <c r="S6" s="767"/>
      <c r="T6" s="767"/>
      <c r="U6" s="766">
        <v>180</v>
      </c>
      <c r="V6" s="767"/>
      <c r="W6" s="767"/>
      <c r="X6" s="359"/>
      <c r="Y6" s="360"/>
    </row>
    <row r="7" spans="1:25">
      <c r="A7" s="727" t="s">
        <v>224</v>
      </c>
      <c r="B7" s="729" t="str">
        <f>[4]RESUMO!B9</f>
        <v>SERVIÇOS PRELIMINARES</v>
      </c>
      <c r="C7" s="730"/>
      <c r="D7" s="751">
        <f>E7/$E$50*100</f>
        <v>0.55350764934025487</v>
      </c>
      <c r="E7" s="733">
        <f>RESUMO!C9</f>
        <v>34868.869999999995</v>
      </c>
      <c r="F7" s="745">
        <f>$E$7*F9</f>
        <v>10460.660999999998</v>
      </c>
      <c r="G7" s="746"/>
      <c r="H7" s="747"/>
      <c r="I7" s="745">
        <f>$E$7*I9</f>
        <v>6973.7739999999994</v>
      </c>
      <c r="J7" s="746"/>
      <c r="K7" s="747"/>
      <c r="L7" s="745">
        <f>$E$7*L9</f>
        <v>6973.7739999999994</v>
      </c>
      <c r="M7" s="746"/>
      <c r="N7" s="747"/>
      <c r="O7" s="745">
        <f>$E$7*O9</f>
        <v>6973.7739999999994</v>
      </c>
      <c r="P7" s="746"/>
      <c r="Q7" s="747"/>
      <c r="R7" s="745">
        <f>$E$7*R9</f>
        <v>1743.4434999999999</v>
      </c>
      <c r="S7" s="746"/>
      <c r="T7" s="747"/>
      <c r="U7" s="745">
        <f>$E$7*U9</f>
        <v>1743.4434999999999</v>
      </c>
      <c r="V7" s="746"/>
      <c r="W7" s="747"/>
      <c r="X7" s="367">
        <f>SUM(F7:W7)</f>
        <v>34868.869999999995</v>
      </c>
      <c r="Y7" s="368">
        <f>X7-E7</f>
        <v>0</v>
      </c>
    </row>
    <row r="8" spans="1:25" ht="12.75" customHeight="1">
      <c r="A8" s="728"/>
      <c r="B8" s="731"/>
      <c r="C8" s="732"/>
      <c r="D8" s="752"/>
      <c r="E8" s="734"/>
      <c r="F8" s="739"/>
      <c r="G8" s="740"/>
      <c r="H8" s="741"/>
      <c r="I8" s="62"/>
      <c r="J8" s="62"/>
      <c r="K8" s="63"/>
      <c r="L8" s="61"/>
      <c r="M8" s="62"/>
      <c r="N8" s="63"/>
      <c r="O8" s="62"/>
      <c r="P8" s="62"/>
      <c r="Q8" s="63"/>
      <c r="R8" s="62"/>
      <c r="S8" s="62"/>
      <c r="T8" s="62"/>
      <c r="U8" s="62"/>
      <c r="V8" s="62"/>
      <c r="W8" s="62"/>
      <c r="X8" s="359"/>
      <c r="Y8" s="360"/>
    </row>
    <row r="9" spans="1:25" ht="12.75" customHeight="1">
      <c r="A9" s="728"/>
      <c r="B9" s="731"/>
      <c r="C9" s="732"/>
      <c r="D9" s="752"/>
      <c r="E9" s="735"/>
      <c r="F9" s="748">
        <v>0.3</v>
      </c>
      <c r="G9" s="749"/>
      <c r="H9" s="750"/>
      <c r="I9" s="748">
        <v>0.2</v>
      </c>
      <c r="J9" s="749"/>
      <c r="K9" s="750"/>
      <c r="L9" s="748">
        <v>0.2</v>
      </c>
      <c r="M9" s="749"/>
      <c r="N9" s="750"/>
      <c r="O9" s="748">
        <v>0.2</v>
      </c>
      <c r="P9" s="749"/>
      <c r="Q9" s="750"/>
      <c r="R9" s="748">
        <v>0.05</v>
      </c>
      <c r="S9" s="749"/>
      <c r="T9" s="750"/>
      <c r="U9" s="748">
        <v>0.05</v>
      </c>
      <c r="V9" s="749"/>
      <c r="W9" s="750"/>
      <c r="X9" s="370">
        <f>SUM(F9:W9)</f>
        <v>1</v>
      </c>
      <c r="Y9" s="360"/>
    </row>
    <row r="10" spans="1:25" ht="12.75" customHeight="1">
      <c r="A10" s="727" t="s">
        <v>26</v>
      </c>
      <c r="B10" s="729" t="str">
        <f>[4]RESUMO!B12</f>
        <v>ADMINISTRAÇÃO LOCAL</v>
      </c>
      <c r="C10" s="730"/>
      <c r="D10" s="751">
        <f>E10/$E$50*100</f>
        <v>2.6007437005966612</v>
      </c>
      <c r="E10" s="733">
        <f>RESUMO!C12</f>
        <v>163836.93</v>
      </c>
      <c r="F10" s="745">
        <f>$E$10*F12</f>
        <v>24575.539499999999</v>
      </c>
      <c r="G10" s="746"/>
      <c r="H10" s="747"/>
      <c r="I10" s="745">
        <f>$E$10*I12</f>
        <v>24575.539499999999</v>
      </c>
      <c r="J10" s="746"/>
      <c r="K10" s="747"/>
      <c r="L10" s="745">
        <f>$E$10*L12</f>
        <v>32767.385999999999</v>
      </c>
      <c r="M10" s="746"/>
      <c r="N10" s="747"/>
      <c r="O10" s="745">
        <f>$E$10*O12</f>
        <v>16383.692999999999</v>
      </c>
      <c r="P10" s="746"/>
      <c r="Q10" s="747"/>
      <c r="R10" s="745">
        <f>$E$10*R12</f>
        <v>16383.692999999999</v>
      </c>
      <c r="S10" s="746"/>
      <c r="T10" s="747"/>
      <c r="U10" s="745">
        <f>$E$10*U12</f>
        <v>49151.078999999998</v>
      </c>
      <c r="V10" s="746"/>
      <c r="W10" s="747"/>
      <c r="X10" s="367">
        <f>SUM(F10:W10)</f>
        <v>163836.93</v>
      </c>
      <c r="Y10" s="368">
        <f>X10-E10</f>
        <v>0</v>
      </c>
    </row>
    <row r="11" spans="1:25" ht="12.75" customHeight="1">
      <c r="A11" s="728"/>
      <c r="B11" s="731"/>
      <c r="C11" s="732"/>
      <c r="D11" s="752"/>
      <c r="E11" s="734"/>
      <c r="F11" s="739"/>
      <c r="G11" s="740"/>
      <c r="H11" s="741"/>
      <c r="I11" s="62"/>
      <c r="J11" s="62"/>
      <c r="K11" s="63"/>
      <c r="L11" s="61"/>
      <c r="M11" s="62"/>
      <c r="N11" s="63"/>
      <c r="O11" s="62"/>
      <c r="P11" s="62"/>
      <c r="Q11" s="63"/>
      <c r="R11" s="62"/>
      <c r="S11" s="62"/>
      <c r="T11" s="62"/>
      <c r="U11" s="62"/>
      <c r="V11" s="62"/>
      <c r="W11" s="62"/>
      <c r="X11" s="359"/>
      <c r="Y11" s="360"/>
    </row>
    <row r="12" spans="1:25" ht="12.75" customHeight="1">
      <c r="A12" s="728"/>
      <c r="B12" s="731"/>
      <c r="C12" s="732"/>
      <c r="D12" s="753"/>
      <c r="E12" s="735"/>
      <c r="F12" s="748">
        <v>0.15</v>
      </c>
      <c r="G12" s="749"/>
      <c r="H12" s="750"/>
      <c r="I12" s="748">
        <v>0.15</v>
      </c>
      <c r="J12" s="749"/>
      <c r="K12" s="750"/>
      <c r="L12" s="748">
        <v>0.2</v>
      </c>
      <c r="M12" s="749"/>
      <c r="N12" s="750"/>
      <c r="O12" s="748">
        <v>0.1</v>
      </c>
      <c r="P12" s="749"/>
      <c r="Q12" s="750"/>
      <c r="R12" s="748">
        <v>0.1</v>
      </c>
      <c r="S12" s="749"/>
      <c r="T12" s="750"/>
      <c r="U12" s="748">
        <v>0.3</v>
      </c>
      <c r="V12" s="749"/>
      <c r="W12" s="750"/>
      <c r="X12" s="370">
        <f>SUM(F12:W12)</f>
        <v>1</v>
      </c>
      <c r="Y12" s="360"/>
    </row>
    <row r="13" spans="1:25" ht="12.75" customHeight="1">
      <c r="A13" s="727" t="s">
        <v>27</v>
      </c>
      <c r="B13" s="785" t="str">
        <f>[4]RESUMO!B15</f>
        <v>ENSAIOS TECNOLÓGICOS DE SOLO E ASFALTO</v>
      </c>
      <c r="C13" s="786"/>
      <c r="D13" s="751">
        <f>E13/$E$50*100</f>
        <v>0.81260937319148285</v>
      </c>
      <c r="E13" s="733">
        <f>RESUMO!C15</f>
        <v>51191.29</v>
      </c>
      <c r="F13" s="745">
        <f>$E$13*F15</f>
        <v>5119.1290000000008</v>
      </c>
      <c r="G13" s="746"/>
      <c r="H13" s="747"/>
      <c r="I13" s="745">
        <f>$E$13*I15</f>
        <v>5119.1290000000008</v>
      </c>
      <c r="J13" s="746"/>
      <c r="K13" s="747"/>
      <c r="L13" s="745">
        <f>$E$13*L15</f>
        <v>7678.6934999999994</v>
      </c>
      <c r="M13" s="746"/>
      <c r="N13" s="747"/>
      <c r="O13" s="745">
        <f>$E$13*O15</f>
        <v>7678.6934999999994</v>
      </c>
      <c r="P13" s="746"/>
      <c r="Q13" s="747"/>
      <c r="R13" s="745">
        <f>$E$13*R15</f>
        <v>10238.258000000002</v>
      </c>
      <c r="S13" s="746"/>
      <c r="T13" s="747"/>
      <c r="U13" s="745">
        <f>$E$13*U15</f>
        <v>15357.386999999999</v>
      </c>
      <c r="V13" s="746"/>
      <c r="W13" s="747"/>
      <c r="X13" s="367">
        <f>SUM(F13:W13)</f>
        <v>51191.290000000008</v>
      </c>
      <c r="Y13" s="368">
        <f>X13-E13</f>
        <v>0</v>
      </c>
    </row>
    <row r="14" spans="1:25" ht="12.75" customHeight="1">
      <c r="A14" s="728"/>
      <c r="B14" s="787"/>
      <c r="C14" s="788"/>
      <c r="D14" s="752"/>
      <c r="E14" s="734"/>
      <c r="F14" s="739"/>
      <c r="G14" s="740"/>
      <c r="H14" s="741"/>
      <c r="I14" s="62"/>
      <c r="J14" s="62"/>
      <c r="K14" s="63"/>
      <c r="L14" s="61"/>
      <c r="M14" s="62"/>
      <c r="N14" s="63"/>
      <c r="O14" s="62"/>
      <c r="P14" s="62"/>
      <c r="Q14" s="63"/>
      <c r="R14" s="62"/>
      <c r="S14" s="62"/>
      <c r="T14" s="62"/>
      <c r="U14" s="62"/>
      <c r="V14" s="62"/>
      <c r="W14" s="62"/>
      <c r="X14" s="359"/>
      <c r="Y14" s="360"/>
    </row>
    <row r="15" spans="1:25" ht="12.75" customHeight="1">
      <c r="A15" s="728"/>
      <c r="B15" s="789"/>
      <c r="C15" s="790"/>
      <c r="D15" s="753"/>
      <c r="E15" s="735"/>
      <c r="F15" s="748">
        <v>0.1</v>
      </c>
      <c r="G15" s="749"/>
      <c r="H15" s="750"/>
      <c r="I15" s="748">
        <v>0.1</v>
      </c>
      <c r="J15" s="749"/>
      <c r="K15" s="750"/>
      <c r="L15" s="748">
        <v>0.15</v>
      </c>
      <c r="M15" s="749"/>
      <c r="N15" s="750"/>
      <c r="O15" s="748">
        <v>0.15</v>
      </c>
      <c r="P15" s="749"/>
      <c r="Q15" s="750"/>
      <c r="R15" s="748">
        <v>0.2</v>
      </c>
      <c r="S15" s="749"/>
      <c r="T15" s="750"/>
      <c r="U15" s="748">
        <v>0.3</v>
      </c>
      <c r="V15" s="749"/>
      <c r="W15" s="750"/>
      <c r="X15" s="370">
        <f>SUM(F15:W15)</f>
        <v>1</v>
      </c>
      <c r="Y15" s="360"/>
    </row>
    <row r="16" spans="1:25" ht="12.75" customHeight="1">
      <c r="A16" s="727" t="s">
        <v>312</v>
      </c>
      <c r="B16" s="729" t="str">
        <f>[4]RESUMO!B18</f>
        <v>TERRAPLENAGEM</v>
      </c>
      <c r="C16" s="730"/>
      <c r="D16" s="751">
        <f>E16/$E$50*100</f>
        <v>17.782483794712999</v>
      </c>
      <c r="E16" s="733">
        <f>RESUMO!C18</f>
        <v>1120228.6299999999</v>
      </c>
      <c r="F16" s="782">
        <f>$E$16*F18</f>
        <v>224045.726</v>
      </c>
      <c r="G16" s="783"/>
      <c r="H16" s="784"/>
      <c r="I16" s="754">
        <f>$E$16*I18</f>
        <v>224045.726</v>
      </c>
      <c r="J16" s="755"/>
      <c r="K16" s="756"/>
      <c r="L16" s="754">
        <f>$E$16*L18</f>
        <v>224045.726</v>
      </c>
      <c r="M16" s="755"/>
      <c r="N16" s="756"/>
      <c r="O16" s="754">
        <f>$E$16*O18</f>
        <v>224045.726</v>
      </c>
      <c r="P16" s="755"/>
      <c r="Q16" s="756"/>
      <c r="R16" s="754">
        <f>$E$16*R18</f>
        <v>112022.863</v>
      </c>
      <c r="S16" s="755"/>
      <c r="T16" s="756"/>
      <c r="U16" s="754">
        <f>$E$16*U18</f>
        <v>112022.863</v>
      </c>
      <c r="V16" s="755"/>
      <c r="W16" s="756"/>
      <c r="X16" s="370">
        <f>SUM(F16:W16)</f>
        <v>1120228.6299999999</v>
      </c>
      <c r="Y16" s="368">
        <f>X16-E16</f>
        <v>0</v>
      </c>
    </row>
    <row r="17" spans="1:25" ht="12.75" customHeight="1">
      <c r="A17" s="728"/>
      <c r="B17" s="731"/>
      <c r="C17" s="732"/>
      <c r="D17" s="752"/>
      <c r="E17" s="734"/>
      <c r="F17" s="739"/>
      <c r="G17" s="740"/>
      <c r="H17" s="741"/>
      <c r="I17" s="62"/>
      <c r="J17" s="62"/>
      <c r="K17" s="63"/>
      <c r="L17" s="61"/>
      <c r="M17" s="62"/>
      <c r="N17" s="63"/>
      <c r="O17" s="62"/>
      <c r="P17" s="62"/>
      <c r="Q17" s="63"/>
      <c r="R17" s="62"/>
      <c r="S17" s="62"/>
      <c r="T17" s="63"/>
      <c r="U17" s="62"/>
      <c r="V17" s="62"/>
      <c r="W17" s="63"/>
      <c r="X17" s="359"/>
      <c r="Y17" s="360"/>
    </row>
    <row r="18" spans="1:25" ht="12.75" customHeight="1">
      <c r="A18" s="728"/>
      <c r="B18" s="731"/>
      <c r="C18" s="732"/>
      <c r="D18" s="753"/>
      <c r="E18" s="735"/>
      <c r="F18" s="742">
        <v>0.2</v>
      </c>
      <c r="G18" s="743"/>
      <c r="H18" s="744"/>
      <c r="I18" s="748">
        <v>0.2</v>
      </c>
      <c r="J18" s="749"/>
      <c r="K18" s="750"/>
      <c r="L18" s="748">
        <v>0.2</v>
      </c>
      <c r="M18" s="749"/>
      <c r="N18" s="750"/>
      <c r="O18" s="748">
        <v>0.2</v>
      </c>
      <c r="P18" s="749"/>
      <c r="Q18" s="750"/>
      <c r="R18" s="748">
        <v>0.1</v>
      </c>
      <c r="S18" s="749"/>
      <c r="T18" s="750"/>
      <c r="U18" s="748">
        <v>0.1</v>
      </c>
      <c r="V18" s="749"/>
      <c r="W18" s="750"/>
      <c r="X18" s="370">
        <f>SUM(F18:W18)</f>
        <v>1</v>
      </c>
      <c r="Y18" s="360"/>
    </row>
    <row r="19" spans="1:25" ht="12.75" customHeight="1">
      <c r="A19" s="727" t="s">
        <v>302</v>
      </c>
      <c r="B19" s="729" t="str">
        <f>[4]RESUMO!B21</f>
        <v>PAVIMENTAÇÃO</v>
      </c>
      <c r="C19" s="730"/>
      <c r="D19" s="751">
        <f>E19/$E$50*100</f>
        <v>19.331395697464821</v>
      </c>
      <c r="E19" s="733">
        <f>RESUMO!C21</f>
        <v>1217804.17</v>
      </c>
      <c r="F19" s="745">
        <f>$E$19*F21</f>
        <v>121780.417</v>
      </c>
      <c r="G19" s="746"/>
      <c r="H19" s="747"/>
      <c r="I19" s="745">
        <f>$E$19*I21</f>
        <v>121780.417</v>
      </c>
      <c r="J19" s="746"/>
      <c r="K19" s="747"/>
      <c r="L19" s="745">
        <f>$E$19*L21</f>
        <v>243560.834</v>
      </c>
      <c r="M19" s="746"/>
      <c r="N19" s="747"/>
      <c r="O19" s="745">
        <f>$E$19*O21</f>
        <v>243560.834</v>
      </c>
      <c r="P19" s="746"/>
      <c r="Q19" s="747"/>
      <c r="R19" s="745">
        <f>$E$19*R21</f>
        <v>243560.834</v>
      </c>
      <c r="S19" s="746"/>
      <c r="T19" s="747"/>
      <c r="U19" s="745">
        <f>$E$19*U21</f>
        <v>243560.834</v>
      </c>
      <c r="V19" s="746"/>
      <c r="W19" s="747"/>
      <c r="X19" s="367">
        <f>SUM(F19:W19)</f>
        <v>1217804.17</v>
      </c>
      <c r="Y19" s="368">
        <f>X19-E19</f>
        <v>0</v>
      </c>
    </row>
    <row r="20" spans="1:25" ht="12.75" customHeight="1">
      <c r="A20" s="728"/>
      <c r="B20" s="731"/>
      <c r="C20" s="732"/>
      <c r="D20" s="752"/>
      <c r="E20" s="734"/>
      <c r="F20" s="739"/>
      <c r="G20" s="740"/>
      <c r="H20" s="741"/>
      <c r="I20" s="62"/>
      <c r="J20" s="62"/>
      <c r="K20" s="63"/>
      <c r="L20" s="61"/>
      <c r="M20" s="62"/>
      <c r="N20" s="63"/>
      <c r="O20" s="62"/>
      <c r="P20" s="62"/>
      <c r="Q20" s="63"/>
      <c r="R20" s="62"/>
      <c r="S20" s="62"/>
      <c r="T20" s="63"/>
      <c r="U20" s="62"/>
      <c r="V20" s="62"/>
      <c r="W20" s="63"/>
      <c r="X20" s="359"/>
      <c r="Y20" s="360"/>
    </row>
    <row r="21" spans="1:25" ht="12.75" customHeight="1">
      <c r="A21" s="728"/>
      <c r="B21" s="731"/>
      <c r="C21" s="732"/>
      <c r="D21" s="753"/>
      <c r="E21" s="735"/>
      <c r="F21" s="748">
        <v>0.1</v>
      </c>
      <c r="G21" s="749"/>
      <c r="H21" s="750"/>
      <c r="I21" s="748">
        <v>0.1</v>
      </c>
      <c r="J21" s="749"/>
      <c r="K21" s="750"/>
      <c r="L21" s="748">
        <v>0.2</v>
      </c>
      <c r="M21" s="749"/>
      <c r="N21" s="750"/>
      <c r="O21" s="748">
        <v>0.2</v>
      </c>
      <c r="P21" s="749"/>
      <c r="Q21" s="750"/>
      <c r="R21" s="748">
        <v>0.2</v>
      </c>
      <c r="S21" s="749"/>
      <c r="T21" s="750"/>
      <c r="U21" s="748">
        <v>0.2</v>
      </c>
      <c r="V21" s="749"/>
      <c r="W21" s="750"/>
      <c r="X21" s="370">
        <f>SUM(F21:W21)</f>
        <v>1</v>
      </c>
      <c r="Y21" s="360"/>
    </row>
    <row r="22" spans="1:25" ht="12.75" customHeight="1">
      <c r="A22" s="727" t="s">
        <v>30</v>
      </c>
      <c r="B22" s="729" t="s">
        <v>516</v>
      </c>
      <c r="C22" s="730"/>
      <c r="D22" s="189"/>
      <c r="E22" s="733">
        <f>RESUMO!C24</f>
        <v>512565.26</v>
      </c>
      <c r="F22" s="745">
        <f>$E$22*F24</f>
        <v>51256.526000000005</v>
      </c>
      <c r="G22" s="746"/>
      <c r="H22" s="747"/>
      <c r="I22" s="745">
        <f>$E$22*I24</f>
        <v>51256.526000000005</v>
      </c>
      <c r="J22" s="746"/>
      <c r="K22" s="747"/>
      <c r="L22" s="745">
        <f>$E$22*L24</f>
        <v>102513.05200000001</v>
      </c>
      <c r="M22" s="746"/>
      <c r="N22" s="747"/>
      <c r="O22" s="745">
        <f>$E$22*O24</f>
        <v>102513.05200000001</v>
      </c>
      <c r="P22" s="746"/>
      <c r="Q22" s="747"/>
      <c r="R22" s="745">
        <f>$E$22*R24</f>
        <v>102513.05200000001</v>
      </c>
      <c r="S22" s="746"/>
      <c r="T22" s="747"/>
      <c r="U22" s="745">
        <f>$E$22*U24</f>
        <v>102513.05200000001</v>
      </c>
      <c r="V22" s="746"/>
      <c r="W22" s="747"/>
      <c r="X22" s="367">
        <f>SUM(F22:W22)</f>
        <v>512565.26000000007</v>
      </c>
      <c r="Y22" s="368">
        <f>X22-E22</f>
        <v>0</v>
      </c>
    </row>
    <row r="23" spans="1:25" ht="12.75" customHeight="1">
      <c r="A23" s="728"/>
      <c r="B23" s="731"/>
      <c r="C23" s="732"/>
      <c r="D23" s="183">
        <f>E22/$E$50*100</f>
        <v>8.1364492797178869</v>
      </c>
      <c r="E23" s="734"/>
      <c r="F23" s="739"/>
      <c r="G23" s="740"/>
      <c r="H23" s="741"/>
      <c r="I23" s="62"/>
      <c r="J23" s="62"/>
      <c r="K23" s="63"/>
      <c r="L23" s="61"/>
      <c r="M23" s="62"/>
      <c r="N23" s="63"/>
      <c r="O23" s="62"/>
      <c r="P23" s="62"/>
      <c r="Q23" s="63"/>
      <c r="R23" s="62"/>
      <c r="S23" s="62"/>
      <c r="T23" s="63"/>
      <c r="U23" s="62"/>
      <c r="V23" s="62"/>
      <c r="W23" s="63"/>
      <c r="X23" s="359"/>
      <c r="Y23" s="360"/>
    </row>
    <row r="24" spans="1:25" ht="12.75" customHeight="1">
      <c r="A24" s="728"/>
      <c r="B24" s="731"/>
      <c r="C24" s="732"/>
      <c r="D24" s="190"/>
      <c r="E24" s="735"/>
      <c r="F24" s="748">
        <v>0.1</v>
      </c>
      <c r="G24" s="749"/>
      <c r="H24" s="750"/>
      <c r="I24" s="748">
        <v>0.1</v>
      </c>
      <c r="J24" s="749"/>
      <c r="K24" s="750"/>
      <c r="L24" s="748">
        <v>0.2</v>
      </c>
      <c r="M24" s="749"/>
      <c r="N24" s="750"/>
      <c r="O24" s="748">
        <v>0.2</v>
      </c>
      <c r="P24" s="749"/>
      <c r="Q24" s="750"/>
      <c r="R24" s="748">
        <v>0.2</v>
      </c>
      <c r="S24" s="749"/>
      <c r="T24" s="750"/>
      <c r="U24" s="748">
        <v>0.2</v>
      </c>
      <c r="V24" s="749"/>
      <c r="W24" s="750"/>
      <c r="X24" s="370">
        <f>SUM(F24:W24)</f>
        <v>1</v>
      </c>
      <c r="Y24" s="360"/>
    </row>
    <row r="25" spans="1:25" ht="12.75" customHeight="1">
      <c r="A25" s="727" t="s">
        <v>91</v>
      </c>
      <c r="B25" s="729" t="s">
        <v>521</v>
      </c>
      <c r="C25" s="730"/>
      <c r="D25" s="189"/>
      <c r="E25" s="733">
        <f>RESUMO!C27</f>
        <v>484471.85</v>
      </c>
      <c r="F25" s="736">
        <f>$E$25*F27</f>
        <v>48447.184999999998</v>
      </c>
      <c r="G25" s="737"/>
      <c r="H25" s="738"/>
      <c r="I25" s="736">
        <f>$E$25*I27</f>
        <v>48447.184999999998</v>
      </c>
      <c r="J25" s="737"/>
      <c r="K25" s="738"/>
      <c r="L25" s="736">
        <f>$E$25*L27</f>
        <v>96894.37</v>
      </c>
      <c r="M25" s="737"/>
      <c r="N25" s="738"/>
      <c r="O25" s="736">
        <f>$E$25*O27</f>
        <v>96894.37</v>
      </c>
      <c r="P25" s="737"/>
      <c r="Q25" s="738"/>
      <c r="R25" s="736">
        <f>$E$25*R27</f>
        <v>96894.37</v>
      </c>
      <c r="S25" s="737"/>
      <c r="T25" s="738"/>
      <c r="U25" s="736">
        <f>$E$25*U27</f>
        <v>96894.37</v>
      </c>
      <c r="V25" s="737"/>
      <c r="W25" s="738"/>
      <c r="X25" s="367">
        <f>SUM(F25:W25)</f>
        <v>484471.85</v>
      </c>
      <c r="Y25" s="368">
        <f>X25-E25</f>
        <v>0</v>
      </c>
    </row>
    <row r="26" spans="1:25" ht="12.75" customHeight="1">
      <c r="A26" s="728"/>
      <c r="B26" s="731"/>
      <c r="C26" s="732"/>
      <c r="D26" s="183">
        <f>E25/$E$50*100</f>
        <v>7.690495128320034</v>
      </c>
      <c r="E26" s="734"/>
      <c r="F26" s="739"/>
      <c r="G26" s="740"/>
      <c r="H26" s="741"/>
      <c r="I26" s="62"/>
      <c r="J26" s="62"/>
      <c r="K26" s="63"/>
      <c r="L26" s="61"/>
      <c r="M26" s="62"/>
      <c r="N26" s="63"/>
      <c r="O26" s="62"/>
      <c r="P26" s="62"/>
      <c r="Q26" s="63"/>
      <c r="R26" s="62"/>
      <c r="S26" s="62"/>
      <c r="T26" s="63"/>
      <c r="U26" s="62"/>
      <c r="V26" s="62"/>
      <c r="W26" s="63"/>
      <c r="X26" s="359"/>
      <c r="Y26" s="360"/>
    </row>
    <row r="27" spans="1:25" ht="12.75" customHeight="1">
      <c r="A27" s="728"/>
      <c r="B27" s="731"/>
      <c r="C27" s="732"/>
      <c r="D27" s="190"/>
      <c r="E27" s="735"/>
      <c r="F27" s="742">
        <v>0.1</v>
      </c>
      <c r="G27" s="743"/>
      <c r="H27" s="744"/>
      <c r="I27" s="742">
        <v>0.1</v>
      </c>
      <c r="J27" s="743"/>
      <c r="K27" s="744"/>
      <c r="L27" s="742">
        <v>0.2</v>
      </c>
      <c r="M27" s="743"/>
      <c r="N27" s="744"/>
      <c r="O27" s="742">
        <v>0.2</v>
      </c>
      <c r="P27" s="743"/>
      <c r="Q27" s="744"/>
      <c r="R27" s="742">
        <v>0.2</v>
      </c>
      <c r="S27" s="743"/>
      <c r="T27" s="744"/>
      <c r="U27" s="742">
        <v>0.2</v>
      </c>
      <c r="V27" s="743"/>
      <c r="W27" s="744"/>
      <c r="X27" s="370">
        <f>SUM(F27:W27)</f>
        <v>1</v>
      </c>
      <c r="Y27" s="360"/>
    </row>
    <row r="28" spans="1:25" ht="12.75" customHeight="1">
      <c r="A28" s="727" t="s">
        <v>170</v>
      </c>
      <c r="B28" s="729" t="str">
        <f>[4]RESUMO!B24</f>
        <v>SINALIZAÇÃO HORIZONTAL/VERTICAL</v>
      </c>
      <c r="C28" s="730"/>
      <c r="D28" s="189"/>
      <c r="E28" s="733">
        <f>RESUMO!C30</f>
        <v>30377.58</v>
      </c>
      <c r="F28" s="797"/>
      <c r="G28" s="798"/>
      <c r="H28" s="799"/>
      <c r="I28" s="737"/>
      <c r="J28" s="737"/>
      <c r="K28" s="738"/>
      <c r="L28" s="736">
        <f>$E$28*L30</f>
        <v>6075.5160000000005</v>
      </c>
      <c r="M28" s="737"/>
      <c r="N28" s="738"/>
      <c r="O28" s="736">
        <f>$E$28*O30</f>
        <v>6075.5160000000005</v>
      </c>
      <c r="P28" s="737"/>
      <c r="Q28" s="738"/>
      <c r="R28" s="736">
        <f>$E$28*R30</f>
        <v>9113.2739999999994</v>
      </c>
      <c r="S28" s="737"/>
      <c r="T28" s="738"/>
      <c r="U28" s="736">
        <f>$E$28*U30</f>
        <v>9113.2739999999994</v>
      </c>
      <c r="V28" s="737"/>
      <c r="W28" s="738"/>
      <c r="X28" s="367">
        <f>SUM(F28:W28)</f>
        <v>30377.58</v>
      </c>
      <c r="Y28" s="368">
        <f>X28-E28</f>
        <v>0</v>
      </c>
    </row>
    <row r="29" spans="1:25" ht="12.75" customHeight="1">
      <c r="A29" s="728"/>
      <c r="B29" s="731"/>
      <c r="C29" s="732"/>
      <c r="D29" s="183">
        <f>E28/$E$50*100</f>
        <v>0.4822130140278576</v>
      </c>
      <c r="E29" s="734"/>
      <c r="F29" s="87"/>
      <c r="G29" s="88"/>
      <c r="H29" s="191"/>
      <c r="I29" s="737"/>
      <c r="J29" s="737"/>
      <c r="K29" s="738"/>
      <c r="L29" s="62"/>
      <c r="M29" s="62"/>
      <c r="N29" s="62"/>
      <c r="O29" s="62"/>
      <c r="P29" s="62"/>
      <c r="Q29" s="62"/>
      <c r="R29" s="61"/>
      <c r="S29" s="62"/>
      <c r="T29" s="63"/>
      <c r="U29" s="61"/>
      <c r="V29" s="62"/>
      <c r="W29" s="63"/>
      <c r="X29" s="359"/>
      <c r="Y29" s="360"/>
    </row>
    <row r="30" spans="1:25" ht="12.75" customHeight="1">
      <c r="A30" s="728"/>
      <c r="B30" s="731"/>
      <c r="C30" s="732"/>
      <c r="D30" s="190"/>
      <c r="E30" s="735"/>
      <c r="F30" s="791"/>
      <c r="G30" s="792"/>
      <c r="H30" s="793"/>
      <c r="I30" s="794"/>
      <c r="J30" s="795"/>
      <c r="K30" s="796"/>
      <c r="L30" s="794">
        <v>0.2</v>
      </c>
      <c r="M30" s="795"/>
      <c r="N30" s="796"/>
      <c r="O30" s="794">
        <v>0.2</v>
      </c>
      <c r="P30" s="795"/>
      <c r="Q30" s="796"/>
      <c r="R30" s="794">
        <v>0.3</v>
      </c>
      <c r="S30" s="795"/>
      <c r="T30" s="796"/>
      <c r="U30" s="794">
        <v>0.3</v>
      </c>
      <c r="V30" s="795"/>
      <c r="W30" s="796"/>
      <c r="X30" s="370">
        <f>SUM(F30:W30)</f>
        <v>1</v>
      </c>
      <c r="Y30" s="360"/>
    </row>
    <row r="31" spans="1:25" ht="12.75" customHeight="1">
      <c r="A31" s="727" t="s">
        <v>173</v>
      </c>
      <c r="B31" s="729" t="str">
        <f>[5]RESUMO!B28</f>
        <v>OBRAS COMPLEMENTARES</v>
      </c>
      <c r="C31" s="730"/>
      <c r="D31" s="751">
        <f>E31/$E$50*100</f>
        <v>22.971290745394271</v>
      </c>
      <c r="E31" s="733">
        <f>RESUMO!C33</f>
        <v>1447103.67</v>
      </c>
      <c r="F31" s="736">
        <f>$E$31*F33</f>
        <v>144710.367</v>
      </c>
      <c r="G31" s="737"/>
      <c r="H31" s="738"/>
      <c r="I31" s="736">
        <f>$E$31*I33</f>
        <v>144710.367</v>
      </c>
      <c r="J31" s="737"/>
      <c r="K31" s="738"/>
      <c r="L31" s="736">
        <f>$E$31*L33</f>
        <v>289420.734</v>
      </c>
      <c r="M31" s="737"/>
      <c r="N31" s="738"/>
      <c r="O31" s="736">
        <f>$E$31*O33</f>
        <v>289420.734</v>
      </c>
      <c r="P31" s="737"/>
      <c r="Q31" s="738"/>
      <c r="R31" s="736">
        <f>$E$31*R33</f>
        <v>289420.734</v>
      </c>
      <c r="S31" s="737"/>
      <c r="T31" s="738"/>
      <c r="U31" s="736">
        <f>$E$31*U33</f>
        <v>289420.734</v>
      </c>
      <c r="V31" s="737"/>
      <c r="W31" s="738"/>
      <c r="X31" s="367">
        <f>SUM(F31:W31)</f>
        <v>1447103.67</v>
      </c>
      <c r="Y31" s="368">
        <f>X31-E31</f>
        <v>0</v>
      </c>
    </row>
    <row r="32" spans="1:25" ht="12.75" customHeight="1">
      <c r="A32" s="728"/>
      <c r="B32" s="731"/>
      <c r="C32" s="732"/>
      <c r="D32" s="752"/>
      <c r="E32" s="734"/>
      <c r="F32" s="62"/>
      <c r="G32" s="62"/>
      <c r="H32" s="63"/>
      <c r="I32" s="62"/>
      <c r="J32" s="62"/>
      <c r="K32" s="63"/>
      <c r="L32" s="62"/>
      <c r="M32" s="62"/>
      <c r="N32" s="63"/>
      <c r="O32" s="62"/>
      <c r="P32" s="62"/>
      <c r="Q32" s="63"/>
      <c r="R32" s="62"/>
      <c r="S32" s="62"/>
      <c r="T32" s="62"/>
      <c r="U32" s="62"/>
      <c r="V32" s="62"/>
      <c r="W32" s="63"/>
      <c r="X32" s="359"/>
      <c r="Y32" s="360"/>
    </row>
    <row r="33" spans="1:25" ht="12.75" customHeight="1">
      <c r="A33" s="728"/>
      <c r="B33" s="731"/>
      <c r="C33" s="732"/>
      <c r="D33" s="753"/>
      <c r="E33" s="735"/>
      <c r="F33" s="794">
        <v>0.1</v>
      </c>
      <c r="G33" s="795"/>
      <c r="H33" s="796"/>
      <c r="I33" s="794">
        <v>0.1</v>
      </c>
      <c r="J33" s="795"/>
      <c r="K33" s="796"/>
      <c r="L33" s="794">
        <v>0.2</v>
      </c>
      <c r="M33" s="795"/>
      <c r="N33" s="796"/>
      <c r="O33" s="794">
        <v>0.2</v>
      </c>
      <c r="P33" s="795"/>
      <c r="Q33" s="796"/>
      <c r="R33" s="794">
        <v>0.2</v>
      </c>
      <c r="S33" s="795"/>
      <c r="T33" s="796"/>
      <c r="U33" s="794">
        <v>0.2</v>
      </c>
      <c r="V33" s="795"/>
      <c r="W33" s="796"/>
      <c r="X33" s="370">
        <f>SUM(F33:W33)</f>
        <v>1</v>
      </c>
      <c r="Y33" s="360"/>
    </row>
    <row r="34" spans="1:25" ht="12.75" customHeight="1">
      <c r="A34" s="727" t="s">
        <v>216</v>
      </c>
      <c r="B34" s="729" t="str">
        <f>[4]RESUMO!B30</f>
        <v>DRENAGEM</v>
      </c>
      <c r="C34" s="730"/>
      <c r="D34" s="751">
        <f>E34/$E$50*100</f>
        <v>4.5985737437796743</v>
      </c>
      <c r="E34" s="733">
        <f>RESUMO!C36</f>
        <v>289692.60000000003</v>
      </c>
      <c r="F34" s="736">
        <f>$E$34*F36</f>
        <v>43453.890000000007</v>
      </c>
      <c r="G34" s="737"/>
      <c r="H34" s="738"/>
      <c r="I34" s="736">
        <f>$E$34*I36</f>
        <v>28969.260000000006</v>
      </c>
      <c r="J34" s="737"/>
      <c r="K34" s="738"/>
      <c r="L34" s="736">
        <f>$E$34*L36</f>
        <v>28969.260000000006</v>
      </c>
      <c r="M34" s="737"/>
      <c r="N34" s="738"/>
      <c r="O34" s="736">
        <f>$E$34*O36</f>
        <v>57938.520000000011</v>
      </c>
      <c r="P34" s="737"/>
      <c r="Q34" s="738"/>
      <c r="R34" s="736">
        <f>$E$34*R36</f>
        <v>57938.520000000011</v>
      </c>
      <c r="S34" s="737"/>
      <c r="T34" s="738"/>
      <c r="U34" s="736">
        <f>$E$34*U36</f>
        <v>72423.150000000009</v>
      </c>
      <c r="V34" s="737"/>
      <c r="W34" s="738"/>
      <c r="X34" s="367">
        <f>SUM(F34:W34)</f>
        <v>289692.60000000003</v>
      </c>
      <c r="Y34" s="368">
        <f>X34-E34</f>
        <v>0</v>
      </c>
    </row>
    <row r="35" spans="1:25" ht="12.75" customHeight="1">
      <c r="A35" s="728"/>
      <c r="B35" s="731"/>
      <c r="C35" s="732"/>
      <c r="D35" s="752"/>
      <c r="E35" s="734"/>
      <c r="F35" s="62"/>
      <c r="G35" s="62"/>
      <c r="H35" s="63"/>
      <c r="I35" s="62"/>
      <c r="J35" s="62"/>
      <c r="K35" s="63"/>
      <c r="L35" s="62"/>
      <c r="M35" s="62"/>
      <c r="N35" s="63"/>
      <c r="O35" s="62"/>
      <c r="P35" s="62"/>
      <c r="Q35" s="63"/>
      <c r="R35" s="62"/>
      <c r="S35" s="62"/>
      <c r="T35" s="62"/>
      <c r="U35" s="62"/>
      <c r="V35" s="62"/>
      <c r="W35" s="63"/>
      <c r="X35" s="359"/>
      <c r="Y35" s="360"/>
    </row>
    <row r="36" spans="1:25" ht="12.75" customHeight="1">
      <c r="A36" s="728"/>
      <c r="B36" s="731"/>
      <c r="C36" s="732"/>
      <c r="D36" s="753"/>
      <c r="E36" s="735"/>
      <c r="F36" s="794">
        <v>0.15</v>
      </c>
      <c r="G36" s="795"/>
      <c r="H36" s="796"/>
      <c r="I36" s="794">
        <v>0.1</v>
      </c>
      <c r="J36" s="795"/>
      <c r="K36" s="796"/>
      <c r="L36" s="794">
        <v>0.1</v>
      </c>
      <c r="M36" s="795"/>
      <c r="N36" s="796"/>
      <c r="O36" s="794">
        <v>0.2</v>
      </c>
      <c r="P36" s="795"/>
      <c r="Q36" s="796"/>
      <c r="R36" s="794">
        <v>0.2</v>
      </c>
      <c r="S36" s="795"/>
      <c r="T36" s="796"/>
      <c r="U36" s="794">
        <v>0.25</v>
      </c>
      <c r="V36" s="795"/>
      <c r="W36" s="796"/>
      <c r="X36" s="370">
        <f>SUM(F36:W36)</f>
        <v>1</v>
      </c>
      <c r="Y36" s="360"/>
    </row>
    <row r="37" spans="1:25" ht="12.75" customHeight="1">
      <c r="A37" s="727" t="s">
        <v>227</v>
      </c>
      <c r="B37" s="785" t="str">
        <f>[4]RESUMO!B33</f>
        <v>FORNECIMENTO/ASSENTAMENTO DE TUBOS TIPO PA-1 e PA-2</v>
      </c>
      <c r="C37" s="786"/>
      <c r="D37" s="751">
        <f>E37/$E$50*100</f>
        <v>3.7287674144773013</v>
      </c>
      <c r="E37" s="733">
        <f>RESUMO!C39</f>
        <v>234898.12</v>
      </c>
      <c r="F37" s="736">
        <f>$E$37*F39</f>
        <v>46979.624000000003</v>
      </c>
      <c r="G37" s="737"/>
      <c r="H37" s="738"/>
      <c r="I37" s="736">
        <f>$E$37*I39</f>
        <v>46979.624000000003</v>
      </c>
      <c r="J37" s="737"/>
      <c r="K37" s="738"/>
      <c r="L37" s="736">
        <f>$E$37*L39</f>
        <v>46979.624000000003</v>
      </c>
      <c r="M37" s="737"/>
      <c r="N37" s="738"/>
      <c r="O37" s="736">
        <f>$E$37*O39</f>
        <v>46979.624000000003</v>
      </c>
      <c r="P37" s="737"/>
      <c r="Q37" s="738"/>
      <c r="R37" s="736">
        <f>$E$37*R39</f>
        <v>23489.812000000002</v>
      </c>
      <c r="S37" s="737"/>
      <c r="T37" s="738"/>
      <c r="U37" s="736">
        <f>$E$37*U39</f>
        <v>23489.812000000002</v>
      </c>
      <c r="V37" s="737"/>
      <c r="W37" s="738"/>
      <c r="X37" s="367">
        <f>SUM(F37:W37)</f>
        <v>234898.12000000002</v>
      </c>
      <c r="Y37" s="368">
        <f>X37-E37</f>
        <v>0</v>
      </c>
    </row>
    <row r="38" spans="1:25" ht="12.75" customHeight="1">
      <c r="A38" s="728"/>
      <c r="B38" s="787"/>
      <c r="C38" s="788"/>
      <c r="D38" s="752"/>
      <c r="E38" s="734"/>
      <c r="F38" s="62"/>
      <c r="G38" s="62"/>
      <c r="H38" s="63"/>
      <c r="I38" s="62"/>
      <c r="J38" s="62"/>
      <c r="K38" s="63"/>
      <c r="L38" s="62"/>
      <c r="M38" s="62"/>
      <c r="N38" s="63"/>
      <c r="O38" s="62"/>
      <c r="P38" s="62"/>
      <c r="Q38" s="63"/>
      <c r="R38" s="62"/>
      <c r="S38" s="62"/>
      <c r="T38" s="62"/>
      <c r="U38" s="62"/>
      <c r="V38" s="62"/>
      <c r="W38" s="63"/>
      <c r="X38" s="359"/>
      <c r="Y38" s="360"/>
    </row>
    <row r="39" spans="1:25" ht="12.75" customHeight="1">
      <c r="A39" s="728"/>
      <c r="B39" s="789"/>
      <c r="C39" s="790"/>
      <c r="D39" s="753"/>
      <c r="E39" s="735"/>
      <c r="F39" s="794">
        <v>0.2</v>
      </c>
      <c r="G39" s="795"/>
      <c r="H39" s="796"/>
      <c r="I39" s="794">
        <v>0.2</v>
      </c>
      <c r="J39" s="795"/>
      <c r="K39" s="796"/>
      <c r="L39" s="794">
        <v>0.2</v>
      </c>
      <c r="M39" s="795"/>
      <c r="N39" s="796"/>
      <c r="O39" s="794">
        <v>0.2</v>
      </c>
      <c r="P39" s="795"/>
      <c r="Q39" s="796"/>
      <c r="R39" s="794">
        <v>0.1</v>
      </c>
      <c r="S39" s="795"/>
      <c r="T39" s="796"/>
      <c r="U39" s="794">
        <v>0.1</v>
      </c>
      <c r="V39" s="795"/>
      <c r="W39" s="796"/>
      <c r="X39" s="370">
        <f>SUM(F39:W39)</f>
        <v>1</v>
      </c>
      <c r="Y39" s="360"/>
    </row>
    <row r="40" spans="1:25" ht="12.75" customHeight="1">
      <c r="A40" s="727" t="s">
        <v>607</v>
      </c>
      <c r="B40" s="785" t="str">
        <f>[4]RESUMO!B36</f>
        <v xml:space="preserve">ASSENTAMENTO E REJUNTAMENTO DE TUBO DE CONCRETO </v>
      </c>
      <c r="C40" s="786"/>
      <c r="D40" s="751">
        <f>E40/$E$50*100</f>
        <v>1.132822893424601</v>
      </c>
      <c r="E40" s="733">
        <f>RESUMO!C42</f>
        <v>71363.51999999999</v>
      </c>
      <c r="F40" s="736">
        <f>$E$40*F42</f>
        <v>14272.703999999998</v>
      </c>
      <c r="G40" s="737"/>
      <c r="H40" s="738"/>
      <c r="I40" s="736">
        <f>$E$40*I42</f>
        <v>14272.703999999998</v>
      </c>
      <c r="J40" s="737"/>
      <c r="K40" s="738"/>
      <c r="L40" s="736">
        <f>$E$40*L42</f>
        <v>14272.703999999998</v>
      </c>
      <c r="M40" s="737"/>
      <c r="N40" s="738"/>
      <c r="O40" s="736">
        <f>$E$40*O42</f>
        <v>14272.703999999998</v>
      </c>
      <c r="P40" s="737"/>
      <c r="Q40" s="738"/>
      <c r="R40" s="736">
        <f>$E$40*R42</f>
        <v>7136.351999999999</v>
      </c>
      <c r="S40" s="737"/>
      <c r="T40" s="738"/>
      <c r="U40" s="736">
        <f>$E$40*U42</f>
        <v>7136.351999999999</v>
      </c>
      <c r="V40" s="737"/>
      <c r="W40" s="738"/>
      <c r="X40" s="367">
        <f>SUM(F40:W40)</f>
        <v>71363.51999999999</v>
      </c>
      <c r="Y40" s="368">
        <f>X40-E40</f>
        <v>0</v>
      </c>
    </row>
    <row r="41" spans="1:25" ht="12.75" customHeight="1">
      <c r="A41" s="728"/>
      <c r="B41" s="787"/>
      <c r="C41" s="788"/>
      <c r="D41" s="752"/>
      <c r="E41" s="734"/>
      <c r="F41" s="62"/>
      <c r="G41" s="62"/>
      <c r="H41" s="63"/>
      <c r="I41" s="62"/>
      <c r="J41" s="62"/>
      <c r="K41" s="63"/>
      <c r="L41" s="62"/>
      <c r="M41" s="62"/>
      <c r="N41" s="63"/>
      <c r="O41" s="62"/>
      <c r="P41" s="62"/>
      <c r="Q41" s="63"/>
      <c r="R41" s="62"/>
      <c r="S41" s="62"/>
      <c r="T41" s="62"/>
      <c r="U41" s="62"/>
      <c r="V41" s="62"/>
      <c r="W41" s="63"/>
      <c r="X41" s="359"/>
      <c r="Y41" s="360"/>
    </row>
    <row r="42" spans="1:25" ht="12.75" customHeight="1">
      <c r="A42" s="728"/>
      <c r="B42" s="789"/>
      <c r="C42" s="790"/>
      <c r="D42" s="753"/>
      <c r="E42" s="735"/>
      <c r="F42" s="794">
        <v>0.2</v>
      </c>
      <c r="G42" s="795"/>
      <c r="H42" s="796"/>
      <c r="I42" s="794">
        <v>0.2</v>
      </c>
      <c r="J42" s="795"/>
      <c r="K42" s="796"/>
      <c r="L42" s="794">
        <v>0.2</v>
      </c>
      <c r="M42" s="795"/>
      <c r="N42" s="796"/>
      <c r="O42" s="794">
        <v>0.2</v>
      </c>
      <c r="P42" s="795"/>
      <c r="Q42" s="796"/>
      <c r="R42" s="794">
        <v>0.1</v>
      </c>
      <c r="S42" s="795"/>
      <c r="T42" s="796"/>
      <c r="U42" s="794">
        <v>0.1</v>
      </c>
      <c r="V42" s="795"/>
      <c r="W42" s="796"/>
      <c r="X42" s="370">
        <f>SUM(F42:W42)</f>
        <v>1</v>
      </c>
      <c r="Y42" s="360"/>
    </row>
    <row r="43" spans="1:25" ht="12.75" customHeight="1">
      <c r="A43" s="727" t="s">
        <v>569</v>
      </c>
      <c r="B43" s="729" t="s">
        <v>131</v>
      </c>
      <c r="C43" s="730"/>
      <c r="D43" s="751">
        <f>E43/$E$50*100</f>
        <v>9.1844413212041456</v>
      </c>
      <c r="E43" s="733">
        <f>RESUMO!C45</f>
        <v>578584.76</v>
      </c>
      <c r="F43" s="736">
        <f>$E$43*F45</f>
        <v>115716.952</v>
      </c>
      <c r="G43" s="737"/>
      <c r="H43" s="738"/>
      <c r="I43" s="736">
        <f>$E$43*I45</f>
        <v>115716.952</v>
      </c>
      <c r="J43" s="737"/>
      <c r="K43" s="738"/>
      <c r="L43" s="736">
        <f>$E$43*L45</f>
        <v>115716.952</v>
      </c>
      <c r="M43" s="737"/>
      <c r="N43" s="738"/>
      <c r="O43" s="736">
        <f>$E$43*O45</f>
        <v>115716.952</v>
      </c>
      <c r="P43" s="737"/>
      <c r="Q43" s="738"/>
      <c r="R43" s="736">
        <f>$E$43*R45</f>
        <v>57858.476000000002</v>
      </c>
      <c r="S43" s="737"/>
      <c r="T43" s="738"/>
      <c r="U43" s="736">
        <f>$E$43*U45</f>
        <v>57858.476000000002</v>
      </c>
      <c r="V43" s="737"/>
      <c r="W43" s="738"/>
      <c r="X43" s="367">
        <f>SUM(F43:W43)</f>
        <v>578584.76</v>
      </c>
      <c r="Y43" s="368">
        <f>X43-E43</f>
        <v>0</v>
      </c>
    </row>
    <row r="44" spans="1:25" ht="12.75" customHeight="1">
      <c r="A44" s="728"/>
      <c r="B44" s="731"/>
      <c r="C44" s="732"/>
      <c r="D44" s="752"/>
      <c r="E44" s="734"/>
      <c r="F44" s="62"/>
      <c r="G44" s="62"/>
      <c r="H44" s="63"/>
      <c r="I44" s="62"/>
      <c r="J44" s="62"/>
      <c r="K44" s="63"/>
      <c r="L44" s="62"/>
      <c r="M44" s="62"/>
      <c r="N44" s="63"/>
      <c r="O44" s="62"/>
      <c r="P44" s="62"/>
      <c r="Q44" s="63"/>
      <c r="R44" s="62"/>
      <c r="S44" s="62"/>
      <c r="T44" s="62"/>
      <c r="U44" s="62"/>
      <c r="V44" s="62"/>
      <c r="W44" s="63"/>
      <c r="X44" s="359"/>
      <c r="Y44" s="360"/>
    </row>
    <row r="45" spans="1:25" ht="12.75" customHeight="1">
      <c r="A45" s="728"/>
      <c r="B45" s="731"/>
      <c r="C45" s="732"/>
      <c r="D45" s="753"/>
      <c r="E45" s="735"/>
      <c r="F45" s="794">
        <v>0.2</v>
      </c>
      <c r="G45" s="795"/>
      <c r="H45" s="796"/>
      <c r="I45" s="794">
        <v>0.2</v>
      </c>
      <c r="J45" s="795"/>
      <c r="K45" s="796"/>
      <c r="L45" s="794">
        <v>0.2</v>
      </c>
      <c r="M45" s="795"/>
      <c r="N45" s="796"/>
      <c r="O45" s="794">
        <v>0.2</v>
      </c>
      <c r="P45" s="795"/>
      <c r="Q45" s="796"/>
      <c r="R45" s="794">
        <v>0.1</v>
      </c>
      <c r="S45" s="795"/>
      <c r="T45" s="796"/>
      <c r="U45" s="794">
        <v>0.1</v>
      </c>
      <c r="V45" s="795"/>
      <c r="W45" s="796"/>
      <c r="X45" s="370">
        <f>SUM(F45:W45)</f>
        <v>1</v>
      </c>
      <c r="Y45" s="360"/>
    </row>
    <row r="46" spans="1:25" ht="12.75" customHeight="1">
      <c r="A46" s="767" t="s">
        <v>568</v>
      </c>
      <c r="B46" s="813" t="s">
        <v>562</v>
      </c>
      <c r="C46" s="813"/>
      <c r="D46" s="814">
        <f>E46/$E$50*100</f>
        <v>0.99420624434802085</v>
      </c>
      <c r="E46" s="733">
        <f>RESUMO!C48</f>
        <v>62631.199999999997</v>
      </c>
      <c r="F46" s="736"/>
      <c r="G46" s="737"/>
      <c r="H46" s="738"/>
      <c r="I46" s="736"/>
      <c r="J46" s="737"/>
      <c r="K46" s="738"/>
      <c r="L46" s="736">
        <f>$E$46*L48</f>
        <v>12526.24</v>
      </c>
      <c r="M46" s="737"/>
      <c r="N46" s="738"/>
      <c r="O46" s="736">
        <f>$E$46*O48</f>
        <v>12526.24</v>
      </c>
      <c r="P46" s="737"/>
      <c r="Q46" s="738"/>
      <c r="R46" s="736">
        <f>$E$46*R48</f>
        <v>18789.359999999997</v>
      </c>
      <c r="S46" s="737"/>
      <c r="T46" s="738"/>
      <c r="U46" s="736">
        <f>$E$46*U48</f>
        <v>18789.359999999997</v>
      </c>
      <c r="V46" s="737"/>
      <c r="W46" s="738"/>
      <c r="X46" s="367">
        <f>SUM(F46:W46)</f>
        <v>62631.199999999997</v>
      </c>
      <c r="Y46" s="368">
        <f>X46-E46</f>
        <v>0</v>
      </c>
    </row>
    <row r="47" spans="1:25" ht="12.75" customHeight="1">
      <c r="A47" s="767"/>
      <c r="B47" s="813"/>
      <c r="C47" s="813"/>
      <c r="D47" s="814"/>
      <c r="E47" s="734"/>
      <c r="F47" s="62"/>
      <c r="G47" s="62"/>
      <c r="H47" s="63"/>
      <c r="I47" s="62"/>
      <c r="J47" s="62"/>
      <c r="K47" s="63"/>
      <c r="L47" s="62"/>
      <c r="M47" s="62"/>
      <c r="N47" s="63"/>
      <c r="O47" s="62"/>
      <c r="P47" s="62"/>
      <c r="Q47" s="63"/>
      <c r="R47" s="62"/>
      <c r="S47" s="62"/>
      <c r="T47" s="62"/>
      <c r="U47" s="62"/>
      <c r="V47" s="62"/>
      <c r="W47" s="63"/>
      <c r="X47" s="359"/>
      <c r="Y47" s="360"/>
    </row>
    <row r="48" spans="1:25" ht="12.75" customHeight="1">
      <c r="A48" s="767"/>
      <c r="B48" s="813"/>
      <c r="C48" s="813"/>
      <c r="D48" s="814"/>
      <c r="E48" s="735"/>
      <c r="F48" s="794"/>
      <c r="G48" s="795"/>
      <c r="H48" s="796"/>
      <c r="I48" s="794"/>
      <c r="J48" s="795"/>
      <c r="K48" s="796"/>
      <c r="L48" s="794">
        <v>0.2</v>
      </c>
      <c r="M48" s="795"/>
      <c r="N48" s="796"/>
      <c r="O48" s="794">
        <v>0.2</v>
      </c>
      <c r="P48" s="795"/>
      <c r="Q48" s="796"/>
      <c r="R48" s="794">
        <v>0.3</v>
      </c>
      <c r="S48" s="795"/>
      <c r="T48" s="796"/>
      <c r="U48" s="794">
        <v>0.3</v>
      </c>
      <c r="V48" s="795"/>
      <c r="W48" s="796"/>
      <c r="X48" s="370">
        <f>SUM(F48:W48)</f>
        <v>1</v>
      </c>
      <c r="Y48" s="360"/>
    </row>
    <row r="49" spans="1:25" ht="12.75" customHeight="1">
      <c r="A49" s="369"/>
      <c r="B49" s="731"/>
      <c r="C49" s="732"/>
      <c r="D49" s="271"/>
      <c r="E49" s="270"/>
      <c r="F49" s="794"/>
      <c r="G49" s="795"/>
      <c r="H49" s="796"/>
      <c r="I49" s="794"/>
      <c r="J49" s="795"/>
      <c r="K49" s="796"/>
      <c r="L49" s="794"/>
      <c r="M49" s="795"/>
      <c r="N49" s="796"/>
      <c r="O49" s="794"/>
      <c r="P49" s="795"/>
      <c r="Q49" s="796"/>
      <c r="R49" s="794"/>
      <c r="S49" s="795"/>
      <c r="T49" s="796"/>
      <c r="U49" s="794"/>
      <c r="V49" s="795"/>
      <c r="W49" s="796"/>
      <c r="X49" s="370">
        <f>SUM(F49:W49)</f>
        <v>0</v>
      </c>
      <c r="Y49" s="360"/>
    </row>
    <row r="50" spans="1:25" ht="12.75" customHeight="1">
      <c r="A50" s="815" t="s">
        <v>97</v>
      </c>
      <c r="B50" s="816"/>
      <c r="C50" s="817"/>
      <c r="D50" s="64">
        <f>SUM(D7:D49)</f>
        <v>100.00000000000001</v>
      </c>
      <c r="E50" s="65">
        <f>E7+E10+E13+E16+E19+E22+E25+E28+E31+E34+E37+E40+E43+E46</f>
        <v>6299618.4499999993</v>
      </c>
      <c r="F50" s="805">
        <f>F51/$E$50</f>
        <v>0.13505877018631188</v>
      </c>
      <c r="G50" s="806"/>
      <c r="H50" s="807"/>
      <c r="I50" s="805">
        <f>I51/$E$50</f>
        <v>0.13220597566508177</v>
      </c>
      <c r="J50" s="806"/>
      <c r="K50" s="807"/>
      <c r="L50" s="805">
        <f>L51/$E$50</f>
        <v>0.19499512156962462</v>
      </c>
      <c r="M50" s="806"/>
      <c r="N50" s="807"/>
      <c r="O50" s="805">
        <f>O51/$E$50</f>
        <v>0.19699295161280761</v>
      </c>
      <c r="P50" s="806"/>
      <c r="Q50" s="807"/>
      <c r="R50" s="805">
        <f>R51/$E$50</f>
        <v>0.16621689865994982</v>
      </c>
      <c r="S50" s="806"/>
      <c r="T50" s="807"/>
      <c r="U50" s="805">
        <f>U51/$E$50</f>
        <v>0.17453028230622447</v>
      </c>
      <c r="V50" s="806"/>
      <c r="W50" s="807"/>
      <c r="X50" s="370">
        <f>SUM(F50:W50)</f>
        <v>1</v>
      </c>
      <c r="Y50" s="368">
        <f>SUM(X7+X10+X13+X16+X19+X22+X25+X28+X31+X34+X37+X40+X43+X46)</f>
        <v>6299618.4499999993</v>
      </c>
    </row>
    <row r="51" spans="1:25">
      <c r="A51" s="815" t="s">
        <v>98</v>
      </c>
      <c r="B51" s="816"/>
      <c r="C51" s="817"/>
      <c r="D51" s="803" t="s">
        <v>99</v>
      </c>
      <c r="E51" s="804"/>
      <c r="F51" s="800">
        <f>F7+F10+F13+F16+F19+F22+F25+F28+F31+F34+F37+F40+F43+F46</f>
        <v>850818.72050000005</v>
      </c>
      <c r="G51" s="801"/>
      <c r="H51" s="802"/>
      <c r="I51" s="800">
        <f>I7+I10+I13+I16+I19+I22+I25+I28+I31+I34+I37+I40+I43+I46</f>
        <v>832847.20350000006</v>
      </c>
      <c r="J51" s="801"/>
      <c r="K51" s="802"/>
      <c r="L51" s="800">
        <f>L7+L10+L13+L16+L19+L22+L25+L28+L31+L34+L37+L40+L43+L46</f>
        <v>1228394.8655000001</v>
      </c>
      <c r="M51" s="801"/>
      <c r="N51" s="802"/>
      <c r="O51" s="800">
        <f>O7+O10+O13+O16+O19+O22+O25+O28+O31+O34+O37+O40+O43+O46</f>
        <v>1240980.4324999999</v>
      </c>
      <c r="P51" s="801"/>
      <c r="Q51" s="802"/>
      <c r="R51" s="800">
        <f>R7+R10+R13+R16+R19+R22+R25+R28+R31+R34+R37+R40+R43+R46</f>
        <v>1047103.0415000001</v>
      </c>
      <c r="S51" s="801"/>
      <c r="T51" s="802"/>
      <c r="U51" s="800">
        <f>U7+U10+U13+U16+U19+U22+U25+U28+U31+U34+U37+U40+U43+U46</f>
        <v>1099474.1865000001</v>
      </c>
      <c r="V51" s="801"/>
      <c r="W51" s="802"/>
      <c r="X51" s="367">
        <f>SUM(F51:W51)</f>
        <v>6299618.4500000002</v>
      </c>
      <c r="Y51" s="360"/>
    </row>
    <row r="52" spans="1:25" ht="13.5" thickBot="1">
      <c r="A52" s="818"/>
      <c r="B52" s="819"/>
      <c r="C52" s="820"/>
      <c r="D52" s="808" t="s">
        <v>100</v>
      </c>
      <c r="E52" s="809"/>
      <c r="F52" s="810">
        <f>F51</f>
        <v>850818.72050000005</v>
      </c>
      <c r="G52" s="811"/>
      <c r="H52" s="812"/>
      <c r="I52" s="810">
        <f>F52+I51</f>
        <v>1683665.9240000001</v>
      </c>
      <c r="J52" s="811"/>
      <c r="K52" s="812"/>
      <c r="L52" s="810">
        <f>I52+L51</f>
        <v>2912060.7895</v>
      </c>
      <c r="M52" s="811"/>
      <c r="N52" s="812"/>
      <c r="O52" s="810">
        <f>L52+O51</f>
        <v>4153041.2220000001</v>
      </c>
      <c r="P52" s="811"/>
      <c r="Q52" s="812"/>
      <c r="R52" s="810">
        <f>O52+R51</f>
        <v>5200144.2635000004</v>
      </c>
      <c r="S52" s="811"/>
      <c r="T52" s="812"/>
      <c r="U52" s="810">
        <f>R52+U51</f>
        <v>6299618.4500000002</v>
      </c>
      <c r="V52" s="811"/>
      <c r="W52" s="812"/>
      <c r="X52" s="371"/>
      <c r="Y52" s="372">
        <f>X51-Y50</f>
        <v>0</v>
      </c>
    </row>
    <row r="54" spans="1:25">
      <c r="E54" s="89">
        <f>SUM(E7:E49)</f>
        <v>6299618.4499999993</v>
      </c>
      <c r="L54" t="s">
        <v>159</v>
      </c>
      <c r="Y54" s="59"/>
    </row>
    <row r="56" spans="1:25">
      <c r="E56" s="206">
        <f>E54-E50</f>
        <v>0</v>
      </c>
    </row>
  </sheetData>
  <mergeCells count="270">
    <mergeCell ref="U43:W43"/>
    <mergeCell ref="F45:H45"/>
    <mergeCell ref="I45:K45"/>
    <mergeCell ref="L45:N45"/>
    <mergeCell ref="O45:Q45"/>
    <mergeCell ref="R45:T45"/>
    <mergeCell ref="U45:W45"/>
    <mergeCell ref="O50:Q50"/>
    <mergeCell ref="F49:H49"/>
    <mergeCell ref="L49:N49"/>
    <mergeCell ref="U48:W48"/>
    <mergeCell ref="F43:H43"/>
    <mergeCell ref="I43:K43"/>
    <mergeCell ref="L43:N43"/>
    <mergeCell ref="O43:Q43"/>
    <mergeCell ref="R43:T43"/>
    <mergeCell ref="R52:T52"/>
    <mergeCell ref="B49:C49"/>
    <mergeCell ref="A50:C50"/>
    <mergeCell ref="I48:K48"/>
    <mergeCell ref="L48:N48"/>
    <mergeCell ref="O48:Q48"/>
    <mergeCell ref="R48:T48"/>
    <mergeCell ref="I51:K51"/>
    <mergeCell ref="L51:N51"/>
    <mergeCell ref="R51:T51"/>
    <mergeCell ref="R50:T50"/>
    <mergeCell ref="O49:Q49"/>
    <mergeCell ref="R49:T49"/>
    <mergeCell ref="U49:W49"/>
    <mergeCell ref="A43:A45"/>
    <mergeCell ref="B43:C45"/>
    <mergeCell ref="D43:D45"/>
    <mergeCell ref="D52:E52"/>
    <mergeCell ref="F52:H52"/>
    <mergeCell ref="I52:K52"/>
    <mergeCell ref="L52:N52"/>
    <mergeCell ref="O52:Q52"/>
    <mergeCell ref="U52:W52"/>
    <mergeCell ref="A46:A48"/>
    <mergeCell ref="B46:C48"/>
    <mergeCell ref="D46:D48"/>
    <mergeCell ref="E46:E48"/>
    <mergeCell ref="F46:H46"/>
    <mergeCell ref="I46:K46"/>
    <mergeCell ref="O46:Q46"/>
    <mergeCell ref="R46:T46"/>
    <mergeCell ref="U46:W46"/>
    <mergeCell ref="F48:H48"/>
    <mergeCell ref="A51:C52"/>
    <mergeCell ref="O51:Q51"/>
    <mergeCell ref="D51:E51"/>
    <mergeCell ref="F51:H51"/>
    <mergeCell ref="E43:E45"/>
    <mergeCell ref="R37:T37"/>
    <mergeCell ref="O39:Q39"/>
    <mergeCell ref="R39:T39"/>
    <mergeCell ref="U39:W39"/>
    <mergeCell ref="I49:K49"/>
    <mergeCell ref="O40:Q40"/>
    <mergeCell ref="R40:T40"/>
    <mergeCell ref="O42:Q42"/>
    <mergeCell ref="R42:T42"/>
    <mergeCell ref="L46:N46"/>
    <mergeCell ref="F50:H50"/>
    <mergeCell ref="I50:K50"/>
    <mergeCell ref="L50:N50"/>
    <mergeCell ref="U50:W50"/>
    <mergeCell ref="U51:W51"/>
    <mergeCell ref="U40:W40"/>
    <mergeCell ref="U37:W37"/>
    <mergeCell ref="I42:K42"/>
    <mergeCell ref="L42:N42"/>
    <mergeCell ref="U42:W42"/>
    <mergeCell ref="U31:W31"/>
    <mergeCell ref="U33:W33"/>
    <mergeCell ref="O31:Q31"/>
    <mergeCell ref="O34:Q34"/>
    <mergeCell ref="R34:T34"/>
    <mergeCell ref="O36:Q36"/>
    <mergeCell ref="R36:T36"/>
    <mergeCell ref="U36:W36"/>
    <mergeCell ref="R28:T28"/>
    <mergeCell ref="O30:Q30"/>
    <mergeCell ref="R30:T30"/>
    <mergeCell ref="R31:T31"/>
    <mergeCell ref="O33:Q33"/>
    <mergeCell ref="R33:T33"/>
    <mergeCell ref="U34:W34"/>
    <mergeCell ref="U18:W18"/>
    <mergeCell ref="U28:W28"/>
    <mergeCell ref="U30:W30"/>
    <mergeCell ref="O19:Q19"/>
    <mergeCell ref="R19:T19"/>
    <mergeCell ref="O21:Q21"/>
    <mergeCell ref="R21:T21"/>
    <mergeCell ref="U19:W19"/>
    <mergeCell ref="U21:W21"/>
    <mergeCell ref="O28:Q28"/>
    <mergeCell ref="O18:Q18"/>
    <mergeCell ref="R18:T18"/>
    <mergeCell ref="U22:W22"/>
    <mergeCell ref="U24:W24"/>
    <mergeCell ref="U25:W25"/>
    <mergeCell ref="U27:W27"/>
    <mergeCell ref="A40:A42"/>
    <mergeCell ref="B40:C42"/>
    <mergeCell ref="O9:Q9"/>
    <mergeCell ref="R9:T9"/>
    <mergeCell ref="O15:Q15"/>
    <mergeCell ref="R15:T15"/>
    <mergeCell ref="R13:T13"/>
    <mergeCell ref="L34:N34"/>
    <mergeCell ref="O10:Q10"/>
    <mergeCell ref="R10:T10"/>
    <mergeCell ref="D40:D42"/>
    <mergeCell ref="E40:E42"/>
    <mergeCell ref="F40:H40"/>
    <mergeCell ref="I40:K40"/>
    <mergeCell ref="L40:N40"/>
    <mergeCell ref="F42:H42"/>
    <mergeCell ref="A28:A30"/>
    <mergeCell ref="B28:C30"/>
    <mergeCell ref="F28:H28"/>
    <mergeCell ref="L31:N31"/>
    <mergeCell ref="L28:N28"/>
    <mergeCell ref="I30:K30"/>
    <mergeCell ref="O37:Q37"/>
    <mergeCell ref="L33:N33"/>
    <mergeCell ref="F33:H33"/>
    <mergeCell ref="I33:K33"/>
    <mergeCell ref="L30:N30"/>
    <mergeCell ref="F39:H39"/>
    <mergeCell ref="I39:K39"/>
    <mergeCell ref="L39:N39"/>
    <mergeCell ref="L37:N37"/>
    <mergeCell ref="F36:H36"/>
    <mergeCell ref="I36:K36"/>
    <mergeCell ref="L36:N36"/>
    <mergeCell ref="A37:A39"/>
    <mergeCell ref="B37:C39"/>
    <mergeCell ref="D37:D39"/>
    <mergeCell ref="E37:E39"/>
    <mergeCell ref="F37:H37"/>
    <mergeCell ref="I37:K37"/>
    <mergeCell ref="L21:N21"/>
    <mergeCell ref="L19:N19"/>
    <mergeCell ref="A19:A21"/>
    <mergeCell ref="B19:C21"/>
    <mergeCell ref="D19:D21"/>
    <mergeCell ref="E19:E21"/>
    <mergeCell ref="F19:H19"/>
    <mergeCell ref="A31:A33"/>
    <mergeCell ref="B31:C33"/>
    <mergeCell ref="F21:H21"/>
    <mergeCell ref="I21:K21"/>
    <mergeCell ref="D31:D33"/>
    <mergeCell ref="E31:E33"/>
    <mergeCell ref="F31:H31"/>
    <mergeCell ref="I31:K31"/>
    <mergeCell ref="F30:H30"/>
    <mergeCell ref="E28:E30"/>
    <mergeCell ref="A34:A36"/>
    <mergeCell ref="A16:A18"/>
    <mergeCell ref="B16:C18"/>
    <mergeCell ref="D16:D18"/>
    <mergeCell ref="E16:E18"/>
    <mergeCell ref="L13:N13"/>
    <mergeCell ref="F16:H16"/>
    <mergeCell ref="A13:A15"/>
    <mergeCell ref="B13:C15"/>
    <mergeCell ref="D13:D15"/>
    <mergeCell ref="L18:N18"/>
    <mergeCell ref="E10:E12"/>
    <mergeCell ref="L12:N12"/>
    <mergeCell ref="L10:N10"/>
    <mergeCell ref="L16:N16"/>
    <mergeCell ref="F18:H18"/>
    <mergeCell ref="I18:K18"/>
    <mergeCell ref="F17:H17"/>
    <mergeCell ref="F15:H15"/>
    <mergeCell ref="L15:N15"/>
    <mergeCell ref="I9:K9"/>
    <mergeCell ref="L6:N6"/>
    <mergeCell ref="F13:H13"/>
    <mergeCell ref="L9:N9"/>
    <mergeCell ref="I12:K12"/>
    <mergeCell ref="O12:Q12"/>
    <mergeCell ref="R12:T12"/>
    <mergeCell ref="O13:Q13"/>
    <mergeCell ref="O6:Q6"/>
    <mergeCell ref="I6:K6"/>
    <mergeCell ref="O7:Q7"/>
    <mergeCell ref="R7:T7"/>
    <mergeCell ref="B10:C12"/>
    <mergeCell ref="F1:W3"/>
    <mergeCell ref="A4:W4"/>
    <mergeCell ref="F5:W5"/>
    <mergeCell ref="U6:W6"/>
    <mergeCell ref="F8:H8"/>
    <mergeCell ref="D10:D12"/>
    <mergeCell ref="F10:H10"/>
    <mergeCell ref="I10:K10"/>
    <mergeCell ref="F11:H11"/>
    <mergeCell ref="F12:H12"/>
    <mergeCell ref="A10:A12"/>
    <mergeCell ref="A7:A9"/>
    <mergeCell ref="B7:C9"/>
    <mergeCell ref="D7:D9"/>
    <mergeCell ref="F7:H7"/>
    <mergeCell ref="I7:K7"/>
    <mergeCell ref="L7:N7"/>
    <mergeCell ref="A1:E3"/>
    <mergeCell ref="A5:E5"/>
    <mergeCell ref="B6:C6"/>
    <mergeCell ref="F6:H6"/>
    <mergeCell ref="R6:T6"/>
    <mergeCell ref="F9:H9"/>
    <mergeCell ref="B34:C36"/>
    <mergeCell ref="D34:D36"/>
    <mergeCell ref="E34:E36"/>
    <mergeCell ref="F34:H34"/>
    <mergeCell ref="U15:W15"/>
    <mergeCell ref="U9:W9"/>
    <mergeCell ref="I34:K34"/>
    <mergeCell ref="I28:K28"/>
    <mergeCell ref="U7:W7"/>
    <mergeCell ref="I15:K15"/>
    <mergeCell ref="I16:K16"/>
    <mergeCell ref="I19:K19"/>
    <mergeCell ref="F20:H20"/>
    <mergeCell ref="U16:W16"/>
    <mergeCell ref="E7:E9"/>
    <mergeCell ref="O16:Q16"/>
    <mergeCell ref="R16:T16"/>
    <mergeCell ref="E13:E15"/>
    <mergeCell ref="I13:K13"/>
    <mergeCell ref="F14:H14"/>
    <mergeCell ref="U10:W10"/>
    <mergeCell ref="U12:W12"/>
    <mergeCell ref="U13:W13"/>
    <mergeCell ref="I29:K29"/>
    <mergeCell ref="A22:A24"/>
    <mergeCell ref="B22:C24"/>
    <mergeCell ref="E22:E24"/>
    <mergeCell ref="F22:H22"/>
    <mergeCell ref="I22:K22"/>
    <mergeCell ref="L22:N22"/>
    <mergeCell ref="F23:H23"/>
    <mergeCell ref="O22:Q22"/>
    <mergeCell ref="R22:T22"/>
    <mergeCell ref="F24:H24"/>
    <mergeCell ref="I24:K24"/>
    <mergeCell ref="L24:N24"/>
    <mergeCell ref="O24:Q24"/>
    <mergeCell ref="R24:T24"/>
    <mergeCell ref="A25:A27"/>
    <mergeCell ref="B25:C27"/>
    <mergeCell ref="E25:E27"/>
    <mergeCell ref="F25:H25"/>
    <mergeCell ref="I25:K25"/>
    <mergeCell ref="L25:N25"/>
    <mergeCell ref="F26:H26"/>
    <mergeCell ref="O25:Q25"/>
    <mergeCell ref="R25:T25"/>
    <mergeCell ref="F27:H27"/>
    <mergeCell ref="I27:K27"/>
    <mergeCell ref="L27:N27"/>
    <mergeCell ref="O27:Q27"/>
    <mergeCell ref="R27:T2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/>
  <dimension ref="A1:Y79"/>
  <sheetViews>
    <sheetView zoomScale="80" zoomScaleNormal="80" workbookViewId="0">
      <pane ySplit="7" topLeftCell="A8" activePane="bottomLeft" state="frozen"/>
      <selection pane="bottomLeft" activeCell="A2" sqref="A2:Y2"/>
    </sheetView>
  </sheetViews>
  <sheetFormatPr defaultRowHeight="12.75"/>
  <cols>
    <col min="1" max="1" width="27.7109375" customWidth="1"/>
    <col min="2" max="2" width="4.140625" customWidth="1"/>
    <col min="3" max="3" width="2.7109375" customWidth="1"/>
    <col min="4" max="4" width="6.85546875" customWidth="1"/>
    <col min="5" max="5" width="4.85546875" customWidth="1"/>
    <col min="6" max="6" width="2.7109375" customWidth="1"/>
    <col min="7" max="7" width="8" customWidth="1"/>
    <col min="8" max="8" width="10.5703125" customWidth="1"/>
    <col min="9" max="9" width="7.7109375" customWidth="1"/>
    <col min="10" max="10" width="8.5703125" bestFit="1" customWidth="1"/>
    <col min="11" max="11" width="6" customWidth="1"/>
    <col min="12" max="12" width="7.5703125" customWidth="1"/>
    <col min="13" max="13" width="10.5703125" customWidth="1"/>
    <col min="14" max="14" width="11" customWidth="1"/>
    <col min="15" max="15" width="9.140625" customWidth="1"/>
    <col min="16" max="16" width="12.42578125" bestFit="1" customWidth="1"/>
    <col min="17" max="17" width="10.140625" customWidth="1"/>
    <col min="18" max="19" width="9.5703125" customWidth="1"/>
    <col min="20" max="20" width="9.85546875" customWidth="1"/>
    <col min="21" max="21" width="12" customWidth="1"/>
    <col min="22" max="22" width="10.140625" customWidth="1"/>
    <col min="23" max="23" width="9.28515625" customWidth="1"/>
    <col min="24" max="24" width="11.7109375" customWidth="1"/>
    <col min="25" max="25" width="11.28515625" customWidth="1"/>
  </cols>
  <sheetData>
    <row r="1" spans="1:25" ht="18.75" customHeight="1">
      <c r="A1" s="825" t="s">
        <v>81</v>
      </c>
      <c r="B1" s="826"/>
      <c r="C1" s="826"/>
      <c r="D1" s="826"/>
      <c r="E1" s="826"/>
      <c r="F1" s="826"/>
      <c r="G1" s="826"/>
      <c r="H1" s="826"/>
      <c r="I1" s="826"/>
      <c r="J1" s="826"/>
      <c r="K1" s="826"/>
      <c r="L1" s="826"/>
      <c r="M1" s="826"/>
      <c r="N1" s="826"/>
      <c r="O1" s="826"/>
      <c r="P1" s="826"/>
      <c r="Q1" s="826"/>
      <c r="R1" s="826"/>
      <c r="S1" s="826"/>
      <c r="T1" s="826"/>
      <c r="U1" s="826"/>
      <c r="V1" s="826"/>
      <c r="W1" s="826"/>
      <c r="X1" s="826"/>
      <c r="Y1" s="827"/>
    </row>
    <row r="2" spans="1:25" ht="20.25" customHeight="1">
      <c r="A2" s="828" t="s">
        <v>612</v>
      </c>
      <c r="B2" s="829"/>
      <c r="C2" s="829"/>
      <c r="D2" s="829"/>
      <c r="E2" s="829"/>
      <c r="F2" s="829"/>
      <c r="G2" s="829"/>
      <c r="H2" s="829"/>
      <c r="I2" s="829"/>
      <c r="J2" s="829"/>
      <c r="K2" s="829"/>
      <c r="L2" s="829"/>
      <c r="M2" s="829"/>
      <c r="N2" s="829"/>
      <c r="O2" s="829"/>
      <c r="P2" s="829"/>
      <c r="Q2" s="829"/>
      <c r="R2" s="829"/>
      <c r="S2" s="829"/>
      <c r="T2" s="829"/>
      <c r="U2" s="829"/>
      <c r="V2" s="829"/>
      <c r="W2" s="829"/>
      <c r="X2" s="829"/>
      <c r="Y2" s="830"/>
    </row>
    <row r="3" spans="1:25" ht="20.25" customHeight="1">
      <c r="A3" s="831" t="s">
        <v>350</v>
      </c>
      <c r="B3" s="832"/>
      <c r="C3" s="832"/>
      <c r="D3" s="832"/>
      <c r="E3" s="832"/>
      <c r="F3" s="832"/>
      <c r="G3" s="832"/>
      <c r="H3" s="832"/>
      <c r="I3" s="832"/>
      <c r="J3" s="832"/>
      <c r="K3" s="832"/>
      <c r="L3" s="832"/>
      <c r="M3" s="832"/>
      <c r="N3" s="832"/>
      <c r="O3" s="832"/>
      <c r="P3" s="832"/>
      <c r="Q3" s="832"/>
      <c r="R3" s="832"/>
      <c r="S3" s="832"/>
      <c r="T3" s="832"/>
      <c r="U3" s="832"/>
      <c r="V3" s="832"/>
      <c r="W3" s="832"/>
      <c r="X3" s="832"/>
      <c r="Y3" s="833"/>
    </row>
    <row r="4" spans="1:25" ht="18.75">
      <c r="A4" s="834" t="s">
        <v>195</v>
      </c>
      <c r="B4" s="835"/>
      <c r="C4" s="835"/>
      <c r="D4" s="835"/>
      <c r="E4" s="835"/>
      <c r="F4" s="835"/>
      <c r="G4" s="835"/>
      <c r="H4" s="835"/>
      <c r="I4" s="835"/>
      <c r="J4" s="835"/>
      <c r="K4" s="835"/>
      <c r="L4" s="835"/>
      <c r="M4" s="835"/>
      <c r="N4" s="835"/>
      <c r="O4" s="835"/>
      <c r="P4" s="835"/>
      <c r="Q4" s="835"/>
      <c r="R4" s="835"/>
      <c r="S4" s="835"/>
      <c r="T4" s="835"/>
      <c r="U4" s="835"/>
      <c r="V4" s="835"/>
      <c r="W4" s="835"/>
      <c r="X4" s="835"/>
      <c r="Y4" s="836"/>
    </row>
    <row r="5" spans="1:25" ht="12" customHeight="1">
      <c r="A5" s="840" t="s">
        <v>342</v>
      </c>
      <c r="B5" s="824" t="s">
        <v>50</v>
      </c>
      <c r="C5" s="824"/>
      <c r="D5" s="824"/>
      <c r="E5" s="824"/>
      <c r="F5" s="824"/>
      <c r="G5" s="824"/>
      <c r="H5" s="823" t="s">
        <v>51</v>
      </c>
      <c r="I5" s="823" t="s">
        <v>228</v>
      </c>
      <c r="J5" s="823"/>
      <c r="K5" s="823"/>
      <c r="L5" s="823"/>
      <c r="M5" s="823" t="s">
        <v>233</v>
      </c>
      <c r="N5" s="823" t="s">
        <v>3</v>
      </c>
      <c r="O5" s="823"/>
      <c r="P5" s="823" t="s">
        <v>196</v>
      </c>
      <c r="Q5" s="823" t="s">
        <v>325</v>
      </c>
      <c r="R5" s="823" t="s">
        <v>197</v>
      </c>
      <c r="S5" s="823" t="s">
        <v>198</v>
      </c>
      <c r="T5" s="823" t="s">
        <v>199</v>
      </c>
      <c r="U5" s="838" t="s">
        <v>234</v>
      </c>
      <c r="V5" s="823" t="s">
        <v>529</v>
      </c>
      <c r="W5" s="838" t="s">
        <v>200</v>
      </c>
      <c r="X5" s="838"/>
      <c r="Y5" s="837" t="s">
        <v>593</v>
      </c>
    </row>
    <row r="6" spans="1:25" ht="12.75" customHeight="1">
      <c r="A6" s="840"/>
      <c r="B6" s="824" t="s">
        <v>52</v>
      </c>
      <c r="C6" s="824"/>
      <c r="D6" s="824"/>
      <c r="E6" s="824" t="s">
        <v>53</v>
      </c>
      <c r="F6" s="824"/>
      <c r="G6" s="824"/>
      <c r="H6" s="823"/>
      <c r="I6" s="822" t="s">
        <v>229</v>
      </c>
      <c r="J6" s="822" t="s">
        <v>232</v>
      </c>
      <c r="K6" s="822" t="s">
        <v>230</v>
      </c>
      <c r="L6" s="822" t="s">
        <v>231</v>
      </c>
      <c r="M6" s="823"/>
      <c r="N6" s="823" t="s">
        <v>54</v>
      </c>
      <c r="O6" s="823" t="s">
        <v>55</v>
      </c>
      <c r="P6" s="823"/>
      <c r="Q6" s="823"/>
      <c r="R6" s="823"/>
      <c r="S6" s="823"/>
      <c r="T6" s="823"/>
      <c r="U6" s="839"/>
      <c r="V6" s="823"/>
      <c r="W6" s="838"/>
      <c r="X6" s="838"/>
      <c r="Y6" s="837"/>
    </row>
    <row r="7" spans="1:25" ht="28.5" customHeight="1">
      <c r="A7" s="840"/>
      <c r="B7" s="824"/>
      <c r="C7" s="824"/>
      <c r="D7" s="824"/>
      <c r="E7" s="824"/>
      <c r="F7" s="824"/>
      <c r="G7" s="824"/>
      <c r="H7" s="823"/>
      <c r="I7" s="822"/>
      <c r="J7" s="822"/>
      <c r="K7" s="822"/>
      <c r="L7" s="822"/>
      <c r="M7" s="823"/>
      <c r="N7" s="823"/>
      <c r="O7" s="823"/>
      <c r="P7" s="823"/>
      <c r="Q7" s="823"/>
      <c r="R7" s="823"/>
      <c r="S7" s="823"/>
      <c r="T7" s="823"/>
      <c r="U7" s="839"/>
      <c r="V7" s="823"/>
      <c r="W7" s="97" t="s">
        <v>235</v>
      </c>
      <c r="X7" s="373" t="s">
        <v>236</v>
      </c>
      <c r="Y7" s="837"/>
    </row>
    <row r="8" spans="1:25" ht="21" customHeight="1">
      <c r="A8" s="329" t="s">
        <v>344</v>
      </c>
      <c r="B8" s="192">
        <v>0</v>
      </c>
      <c r="C8" s="193" t="s">
        <v>56</v>
      </c>
      <c r="D8" s="275">
        <v>0</v>
      </c>
      <c r="E8" s="192">
        <v>26</v>
      </c>
      <c r="F8" s="192" t="s">
        <v>56</v>
      </c>
      <c r="G8" s="284">
        <v>12.407</v>
      </c>
      <c r="H8" s="195">
        <f t="shared" ref="H8:H14" si="0">(E8*20+G8)-(B8*20+D8)</f>
        <v>532.40700000000004</v>
      </c>
      <c r="I8" s="196">
        <v>0.5</v>
      </c>
      <c r="J8" s="196">
        <v>3.5</v>
      </c>
      <c r="K8" s="196">
        <v>3.5</v>
      </c>
      <c r="L8" s="227">
        <v>0.5</v>
      </c>
      <c r="M8" s="196">
        <f t="shared" ref="M8:M14" si="1">H8*6.9</f>
        <v>3673.6083000000003</v>
      </c>
      <c r="N8" s="279">
        <v>4640.2250000000004</v>
      </c>
      <c r="O8" s="280">
        <v>0</v>
      </c>
      <c r="P8" s="229">
        <f t="shared" ref="P8:P14" si="2">INT((I8+J8+K8+L8)*H8*100+0.5)/100</f>
        <v>4259.26</v>
      </c>
      <c r="Q8" s="229">
        <f>INT((I8+J8+K8+L8)*H8*0.6*100+0.5)/100</f>
        <v>2555.5500000000002</v>
      </c>
      <c r="R8" s="229">
        <f t="shared" ref="R8:R14" si="3">INT((I8+J8+K8+L8)*H8*0.2*100+0.5)/100</f>
        <v>851.85</v>
      </c>
      <c r="S8" s="229">
        <f t="shared" ref="S8:S14" si="4">INT((I8+J8+K8+L8)*H8*0.2*100+0.5)/100</f>
        <v>851.85</v>
      </c>
      <c r="T8" s="228">
        <f t="shared" ref="T8:T21" si="5">INT((J8-0.3+K8-0.3)*H8*100+0.5)/100</f>
        <v>3407.4</v>
      </c>
      <c r="U8" s="228">
        <f t="shared" ref="U8:U14" si="6">INT(((J8-0.3+K8-0.3))*H8*100+0.5)/100</f>
        <v>3407.4</v>
      </c>
      <c r="V8" s="228">
        <f>T8*0.04*2.4</f>
        <v>327.11039999999997</v>
      </c>
      <c r="W8" s="228">
        <f t="shared" ref="W8:W14" si="7">(H8*2)-X8</f>
        <v>970.85400000000004</v>
      </c>
      <c r="X8" s="228">
        <f>12*7.83</f>
        <v>93.960000000000008</v>
      </c>
      <c r="Y8" s="563">
        <f>TRUNC(((H8*2)-(24*3.5))*1.5*0.06,3)</f>
        <v>88.272999999999996</v>
      </c>
    </row>
    <row r="9" spans="1:25" ht="21" customHeight="1">
      <c r="A9" s="329" t="s">
        <v>343</v>
      </c>
      <c r="B9" s="192">
        <v>0</v>
      </c>
      <c r="C9" s="193" t="s">
        <v>56</v>
      </c>
      <c r="D9" s="275">
        <v>0</v>
      </c>
      <c r="E9" s="192">
        <v>4</v>
      </c>
      <c r="F9" s="192" t="s">
        <v>56</v>
      </c>
      <c r="G9" s="284">
        <v>2.016</v>
      </c>
      <c r="H9" s="195">
        <f t="shared" si="0"/>
        <v>82.016000000000005</v>
      </c>
      <c r="I9" s="196">
        <v>0.5</v>
      </c>
      <c r="J9" s="196">
        <v>3.5</v>
      </c>
      <c r="K9" s="196">
        <v>3.5</v>
      </c>
      <c r="L9" s="227">
        <v>0.5</v>
      </c>
      <c r="M9" s="196">
        <f t="shared" si="1"/>
        <v>565.9104000000001</v>
      </c>
      <c r="N9" s="279">
        <v>595.32399999999996</v>
      </c>
      <c r="O9" s="280">
        <v>0</v>
      </c>
      <c r="P9" s="229">
        <f t="shared" si="2"/>
        <v>656.13</v>
      </c>
      <c r="Q9" s="229">
        <f>INT((I9+J9+K9+L9)*H9*0.4*100+0.5)/100</f>
        <v>262.45</v>
      </c>
      <c r="R9" s="229">
        <f t="shared" si="3"/>
        <v>131.22999999999999</v>
      </c>
      <c r="S9" s="229">
        <f t="shared" si="4"/>
        <v>131.22999999999999</v>
      </c>
      <c r="T9" s="228">
        <f t="shared" si="5"/>
        <v>524.9</v>
      </c>
      <c r="U9" s="228">
        <f t="shared" si="6"/>
        <v>524.9</v>
      </c>
      <c r="V9" s="228">
        <f t="shared" ref="V9:V21" si="8">T9*0.04*2.4</f>
        <v>50.390399999999993</v>
      </c>
      <c r="W9" s="228">
        <f t="shared" si="7"/>
        <v>148.37200000000001</v>
      </c>
      <c r="X9" s="228">
        <f>2*7.83</f>
        <v>15.66</v>
      </c>
      <c r="Y9" s="563">
        <f>TRUNC(((H9*2)-(4*3.5))*1.5*0.06,3)</f>
        <v>13.502000000000001</v>
      </c>
    </row>
    <row r="10" spans="1:25" ht="21" customHeight="1">
      <c r="A10" s="329" t="s">
        <v>333</v>
      </c>
      <c r="B10" s="192">
        <v>0</v>
      </c>
      <c r="C10" s="193" t="s">
        <v>56</v>
      </c>
      <c r="D10" s="275">
        <v>0</v>
      </c>
      <c r="E10" s="192">
        <v>7</v>
      </c>
      <c r="F10" s="192" t="s">
        <v>56</v>
      </c>
      <c r="G10" s="284">
        <v>5.6840000000000002</v>
      </c>
      <c r="H10" s="195">
        <f t="shared" si="0"/>
        <v>145.684</v>
      </c>
      <c r="I10" s="196">
        <v>0.5</v>
      </c>
      <c r="J10" s="196">
        <v>3.5</v>
      </c>
      <c r="K10" s="196">
        <v>3.5</v>
      </c>
      <c r="L10" s="227">
        <v>0.5</v>
      </c>
      <c r="M10" s="196">
        <f t="shared" si="1"/>
        <v>1005.2196</v>
      </c>
      <c r="N10" s="196">
        <v>982.50099999999998</v>
      </c>
      <c r="O10" s="280">
        <v>0</v>
      </c>
      <c r="P10" s="229">
        <f t="shared" si="2"/>
        <v>1165.47</v>
      </c>
      <c r="Q10" s="229">
        <f t="shared" ref="Q10:Q21" si="9">INT((I10+J10+K10+L10)*H10*0.4*100+0.5)/100</f>
        <v>466.19</v>
      </c>
      <c r="R10" s="229">
        <f t="shared" si="3"/>
        <v>233.09</v>
      </c>
      <c r="S10" s="229">
        <f t="shared" si="4"/>
        <v>233.09</v>
      </c>
      <c r="T10" s="228">
        <f t="shared" si="5"/>
        <v>932.38</v>
      </c>
      <c r="U10" s="228">
        <f t="shared" si="6"/>
        <v>932.38</v>
      </c>
      <c r="V10" s="228">
        <f t="shared" si="8"/>
        <v>89.508480000000006</v>
      </c>
      <c r="W10" s="228">
        <f t="shared" si="7"/>
        <v>275.70799999999997</v>
      </c>
      <c r="X10" s="228">
        <f>2*7.83</f>
        <v>15.66</v>
      </c>
      <c r="Y10" s="563">
        <f>TRUNC(((H10*2)-(6*3.5))*1.5*0.06,3)</f>
        <v>24.332999999999998</v>
      </c>
    </row>
    <row r="11" spans="1:25" ht="21" customHeight="1">
      <c r="A11" s="329" t="s">
        <v>334</v>
      </c>
      <c r="B11" s="192">
        <v>0</v>
      </c>
      <c r="C11" s="193" t="s">
        <v>56</v>
      </c>
      <c r="D11" s="275">
        <v>0</v>
      </c>
      <c r="E11" s="192">
        <v>13</v>
      </c>
      <c r="F11" s="192" t="s">
        <v>56</v>
      </c>
      <c r="G11" s="284">
        <v>12.718999999999999</v>
      </c>
      <c r="H11" s="195">
        <f t="shared" si="0"/>
        <v>272.71899999999999</v>
      </c>
      <c r="I11" s="196">
        <v>0.5</v>
      </c>
      <c r="J11" s="196">
        <v>3.5</v>
      </c>
      <c r="K11" s="196">
        <v>3.5</v>
      </c>
      <c r="L11" s="227">
        <v>0.5</v>
      </c>
      <c r="M11" s="196">
        <f t="shared" si="1"/>
        <v>1881.7611000000002</v>
      </c>
      <c r="N11" s="196">
        <v>1881.51</v>
      </c>
      <c r="O11" s="280">
        <v>0</v>
      </c>
      <c r="P11" s="229">
        <f t="shared" si="2"/>
        <v>2181.75</v>
      </c>
      <c r="Q11" s="229">
        <f t="shared" si="9"/>
        <v>872.7</v>
      </c>
      <c r="R11" s="229">
        <f t="shared" si="3"/>
        <v>436.35</v>
      </c>
      <c r="S11" s="229">
        <f t="shared" si="4"/>
        <v>436.35</v>
      </c>
      <c r="T11" s="228">
        <f t="shared" si="5"/>
        <v>1745.4</v>
      </c>
      <c r="U11" s="228">
        <f t="shared" si="6"/>
        <v>1745.4</v>
      </c>
      <c r="V11" s="228">
        <f t="shared" si="8"/>
        <v>167.55840000000001</v>
      </c>
      <c r="W11" s="228">
        <f t="shared" si="7"/>
        <v>494.51799999999997</v>
      </c>
      <c r="X11" s="228">
        <f>4*7.83+19.6</f>
        <v>50.92</v>
      </c>
      <c r="Y11" s="563">
        <f>TRUNC(((H11*2)-(6*3.5))*1.5*0.06,3)</f>
        <v>47.198999999999998</v>
      </c>
    </row>
    <row r="12" spans="1:25" ht="21" customHeight="1">
      <c r="A12" s="329" t="s">
        <v>346</v>
      </c>
      <c r="B12" s="192">
        <v>0</v>
      </c>
      <c r="C12" s="193" t="s">
        <v>56</v>
      </c>
      <c r="D12" s="275">
        <v>0</v>
      </c>
      <c r="E12" s="192">
        <v>7</v>
      </c>
      <c r="F12" s="192" t="s">
        <v>56</v>
      </c>
      <c r="G12" s="284">
        <v>4.4999999999999998E-2</v>
      </c>
      <c r="H12" s="195">
        <f>(E12*20+G12)-(B12*20+D12)</f>
        <v>140.04499999999999</v>
      </c>
      <c r="I12" s="196">
        <v>0.5</v>
      </c>
      <c r="J12" s="196">
        <v>3.5</v>
      </c>
      <c r="K12" s="196">
        <v>3.5</v>
      </c>
      <c r="L12" s="227">
        <v>0.5</v>
      </c>
      <c r="M12" s="196">
        <f>H12*6.9</f>
        <v>966.31049999999993</v>
      </c>
      <c r="N12" s="196">
        <v>904.09799999999996</v>
      </c>
      <c r="O12" s="280">
        <v>0</v>
      </c>
      <c r="P12" s="229">
        <f t="shared" si="2"/>
        <v>1120.3599999999999</v>
      </c>
      <c r="Q12" s="229">
        <f t="shared" si="9"/>
        <v>448.14</v>
      </c>
      <c r="R12" s="229">
        <f t="shared" si="3"/>
        <v>224.07</v>
      </c>
      <c r="S12" s="229">
        <f t="shared" si="4"/>
        <v>224.07</v>
      </c>
      <c r="T12" s="228">
        <f t="shared" si="5"/>
        <v>896.29</v>
      </c>
      <c r="U12" s="228">
        <f t="shared" si="6"/>
        <v>896.29</v>
      </c>
      <c r="V12" s="228">
        <f t="shared" si="8"/>
        <v>86.043839999999989</v>
      </c>
      <c r="W12" s="228">
        <f>(H12*2)-X12</f>
        <v>272.26</v>
      </c>
      <c r="X12" s="374">
        <v>7.83</v>
      </c>
      <c r="Y12" s="563">
        <f>TRUNC(((H12*2)-(2*3.5))*1.5*0.06,3)</f>
        <v>24.577999999999999</v>
      </c>
    </row>
    <row r="13" spans="1:25" ht="27" customHeight="1">
      <c r="A13" s="329" t="s">
        <v>341</v>
      </c>
      <c r="B13" s="192">
        <v>0</v>
      </c>
      <c r="C13" s="193" t="s">
        <v>56</v>
      </c>
      <c r="D13" s="275">
        <v>0</v>
      </c>
      <c r="E13" s="192">
        <v>7</v>
      </c>
      <c r="F13" s="192" t="s">
        <v>56</v>
      </c>
      <c r="G13" s="284">
        <v>18.765000000000001</v>
      </c>
      <c r="H13" s="195">
        <f t="shared" si="0"/>
        <v>158.76499999999999</v>
      </c>
      <c r="I13" s="196">
        <v>0.5</v>
      </c>
      <c r="J13" s="196">
        <v>3.5</v>
      </c>
      <c r="K13" s="196">
        <v>3.5</v>
      </c>
      <c r="L13" s="227">
        <v>0.5</v>
      </c>
      <c r="M13" s="196">
        <f t="shared" si="1"/>
        <v>1095.4784999999999</v>
      </c>
      <c r="N13" s="279">
        <v>1180.2080000000001</v>
      </c>
      <c r="O13" s="280">
        <v>0</v>
      </c>
      <c r="P13" s="229">
        <f t="shared" si="2"/>
        <v>1270.1199999999999</v>
      </c>
      <c r="Q13" s="229">
        <f t="shared" si="9"/>
        <v>508.05</v>
      </c>
      <c r="R13" s="229">
        <f t="shared" si="3"/>
        <v>254.02</v>
      </c>
      <c r="S13" s="229">
        <f t="shared" si="4"/>
        <v>254.02</v>
      </c>
      <c r="T13" s="228">
        <f t="shared" si="5"/>
        <v>1016.1</v>
      </c>
      <c r="U13" s="228">
        <f t="shared" si="6"/>
        <v>1016.1</v>
      </c>
      <c r="V13" s="228">
        <f t="shared" si="8"/>
        <v>97.545599999999993</v>
      </c>
      <c r="W13" s="228">
        <f t="shared" si="7"/>
        <v>309.7</v>
      </c>
      <c r="X13" s="228">
        <v>7.83</v>
      </c>
      <c r="Y13" s="563">
        <f>TRUNC(((H13*2)-(2*3.5))*1.5*0.06,3)</f>
        <v>27.946999999999999</v>
      </c>
    </row>
    <row r="14" spans="1:25" ht="21" customHeight="1">
      <c r="A14" s="329" t="s">
        <v>335</v>
      </c>
      <c r="B14" s="192">
        <v>0</v>
      </c>
      <c r="C14" s="193" t="s">
        <v>56</v>
      </c>
      <c r="D14" s="275">
        <v>0</v>
      </c>
      <c r="E14" s="192">
        <v>7</v>
      </c>
      <c r="F14" s="192" t="s">
        <v>56</v>
      </c>
      <c r="G14" s="284">
        <v>17.989999999999998</v>
      </c>
      <c r="H14" s="195">
        <f t="shared" si="0"/>
        <v>157.99</v>
      </c>
      <c r="I14" s="196">
        <v>0.5</v>
      </c>
      <c r="J14" s="196">
        <v>3.5</v>
      </c>
      <c r="K14" s="196">
        <v>3.5</v>
      </c>
      <c r="L14" s="227">
        <v>0.5</v>
      </c>
      <c r="M14" s="196">
        <f t="shared" si="1"/>
        <v>1090.1310000000001</v>
      </c>
      <c r="N14" s="279">
        <v>995.63300000000004</v>
      </c>
      <c r="O14" s="280">
        <v>0</v>
      </c>
      <c r="P14" s="229">
        <f t="shared" si="2"/>
        <v>1263.92</v>
      </c>
      <c r="Q14" s="229">
        <f t="shared" si="9"/>
        <v>505.57</v>
      </c>
      <c r="R14" s="229">
        <f t="shared" si="3"/>
        <v>252.78</v>
      </c>
      <c r="S14" s="229">
        <f t="shared" si="4"/>
        <v>252.78</v>
      </c>
      <c r="T14" s="228">
        <f t="shared" si="5"/>
        <v>1011.14</v>
      </c>
      <c r="U14" s="228">
        <f t="shared" si="6"/>
        <v>1011.14</v>
      </c>
      <c r="V14" s="228">
        <f t="shared" si="8"/>
        <v>97.06944</v>
      </c>
      <c r="W14" s="228">
        <f t="shared" si="7"/>
        <v>300.32</v>
      </c>
      <c r="X14" s="228">
        <f>2*7.83</f>
        <v>15.66</v>
      </c>
      <c r="Y14" s="563">
        <f>TRUNC(((H14*2)-(4*3.5))*1.5*0.06,3)</f>
        <v>27.178000000000001</v>
      </c>
    </row>
    <row r="15" spans="1:25" ht="21" customHeight="1">
      <c r="A15" s="329" t="s">
        <v>336</v>
      </c>
      <c r="B15" s="192">
        <v>0</v>
      </c>
      <c r="C15" s="193" t="s">
        <v>56</v>
      </c>
      <c r="D15" s="275">
        <v>0</v>
      </c>
      <c r="E15" s="192">
        <v>8</v>
      </c>
      <c r="F15" s="192" t="s">
        <v>56</v>
      </c>
      <c r="G15" s="284">
        <v>7.4409999999999998</v>
      </c>
      <c r="H15" s="195">
        <f t="shared" ref="H15:H20" si="10">(E15*20+G15)-(B15*20+D15)</f>
        <v>167.441</v>
      </c>
      <c r="I15" s="196">
        <v>0.5</v>
      </c>
      <c r="J15" s="196">
        <v>3.5</v>
      </c>
      <c r="K15" s="196">
        <v>3.5</v>
      </c>
      <c r="L15" s="227">
        <v>0.5</v>
      </c>
      <c r="M15" s="196">
        <f t="shared" ref="M15:M20" si="11">H15*6.9</f>
        <v>1155.3429000000001</v>
      </c>
      <c r="N15" s="279">
        <v>1006.3819999999999</v>
      </c>
      <c r="O15" s="280">
        <v>0</v>
      </c>
      <c r="P15" s="229">
        <f t="shared" ref="P15:P21" si="12">INT((I15+J15+K15+L15)*H15*100+0.5)/100</f>
        <v>1339.53</v>
      </c>
      <c r="Q15" s="229">
        <f t="shared" si="9"/>
        <v>535.80999999999995</v>
      </c>
      <c r="R15" s="229">
        <f t="shared" ref="R15:R21" si="13">INT((I15+J15+K15+L15)*H15*0.2*100+0.5)/100</f>
        <v>267.91000000000003</v>
      </c>
      <c r="S15" s="229">
        <f t="shared" ref="S15:S21" si="14">INT((I15+J15+K15+L15)*H15*0.2*100+0.5)/100</f>
        <v>267.91000000000003</v>
      </c>
      <c r="T15" s="228">
        <f t="shared" si="5"/>
        <v>1071.6199999999999</v>
      </c>
      <c r="U15" s="228">
        <f t="shared" ref="U15:U21" si="15">INT(((J15-0.3+K15-0.3))*H15*100+0.5)/100</f>
        <v>1071.6199999999999</v>
      </c>
      <c r="V15" s="228">
        <f t="shared" si="8"/>
        <v>102.87551999999998</v>
      </c>
      <c r="W15" s="228">
        <f t="shared" ref="W15:W20" si="16">(H15*2)-X15</f>
        <v>292.452</v>
      </c>
      <c r="X15" s="228">
        <f>3*7.83+18.94</f>
        <v>42.430000000000007</v>
      </c>
      <c r="Y15" s="563">
        <f>TRUNC(((H15*2)-(6*3.5))*1.5*0.06,3)</f>
        <v>28.248999999999999</v>
      </c>
    </row>
    <row r="16" spans="1:25" ht="21" customHeight="1">
      <c r="A16" s="329" t="s">
        <v>337</v>
      </c>
      <c r="B16" s="192">
        <v>0</v>
      </c>
      <c r="C16" s="193" t="s">
        <v>56</v>
      </c>
      <c r="D16" s="275">
        <v>0</v>
      </c>
      <c r="E16" s="192">
        <v>7</v>
      </c>
      <c r="F16" s="192" t="s">
        <v>56</v>
      </c>
      <c r="G16" s="284">
        <v>7.9710000000000001</v>
      </c>
      <c r="H16" s="195">
        <f t="shared" si="10"/>
        <v>147.971</v>
      </c>
      <c r="I16" s="196">
        <v>0.5</v>
      </c>
      <c r="J16" s="196">
        <v>3.5</v>
      </c>
      <c r="K16" s="196">
        <v>3.5</v>
      </c>
      <c r="L16" s="227">
        <v>0.5</v>
      </c>
      <c r="M16" s="196">
        <f t="shared" si="11"/>
        <v>1020.9999</v>
      </c>
      <c r="N16" s="279">
        <v>1008.365</v>
      </c>
      <c r="O16" s="280">
        <v>0</v>
      </c>
      <c r="P16" s="229">
        <f t="shared" si="12"/>
        <v>1183.77</v>
      </c>
      <c r="Q16" s="229">
        <f t="shared" si="9"/>
        <v>473.51</v>
      </c>
      <c r="R16" s="229">
        <f t="shared" si="13"/>
        <v>236.75</v>
      </c>
      <c r="S16" s="229">
        <f t="shared" si="14"/>
        <v>236.75</v>
      </c>
      <c r="T16" s="228">
        <f t="shared" si="5"/>
        <v>947.01</v>
      </c>
      <c r="U16" s="228">
        <f t="shared" si="15"/>
        <v>947.01</v>
      </c>
      <c r="V16" s="228">
        <f t="shared" si="8"/>
        <v>90.912959999999998</v>
      </c>
      <c r="W16" s="228">
        <f t="shared" si="16"/>
        <v>288.11200000000002</v>
      </c>
      <c r="X16" s="228">
        <v>7.83</v>
      </c>
      <c r="Y16" s="563">
        <f>TRUNC(((H16*2)-(2*3.5))*1.5*0.06,3)</f>
        <v>26.004000000000001</v>
      </c>
    </row>
    <row r="17" spans="1:25" ht="36" customHeight="1">
      <c r="A17" s="329" t="s">
        <v>338</v>
      </c>
      <c r="B17" s="192">
        <v>0</v>
      </c>
      <c r="C17" s="193" t="s">
        <v>56</v>
      </c>
      <c r="D17" s="275">
        <v>0</v>
      </c>
      <c r="E17" s="192">
        <v>7</v>
      </c>
      <c r="F17" s="192" t="s">
        <v>56</v>
      </c>
      <c r="G17" s="284">
        <v>8.5259999999999998</v>
      </c>
      <c r="H17" s="317">
        <f t="shared" si="10"/>
        <v>148.52600000000001</v>
      </c>
      <c r="I17" s="317">
        <v>0.5</v>
      </c>
      <c r="J17" s="317">
        <v>3.5</v>
      </c>
      <c r="K17" s="317">
        <v>3.5</v>
      </c>
      <c r="L17" s="318">
        <v>0.5</v>
      </c>
      <c r="M17" s="317">
        <f t="shared" si="11"/>
        <v>1024.8294000000001</v>
      </c>
      <c r="N17" s="319">
        <v>1040.068</v>
      </c>
      <c r="O17" s="320">
        <v>0</v>
      </c>
      <c r="P17" s="321">
        <f t="shared" si="12"/>
        <v>1188.21</v>
      </c>
      <c r="Q17" s="229">
        <f t="shared" si="9"/>
        <v>475.28</v>
      </c>
      <c r="R17" s="321">
        <f t="shared" si="13"/>
        <v>237.64</v>
      </c>
      <c r="S17" s="321">
        <f t="shared" si="14"/>
        <v>237.64</v>
      </c>
      <c r="T17" s="228">
        <f t="shared" si="5"/>
        <v>950.57</v>
      </c>
      <c r="U17" s="321">
        <f t="shared" si="15"/>
        <v>950.57</v>
      </c>
      <c r="V17" s="228">
        <f t="shared" si="8"/>
        <v>91.254720000000006</v>
      </c>
      <c r="W17" s="321">
        <f t="shared" si="16"/>
        <v>273.56200000000001</v>
      </c>
      <c r="X17" s="321">
        <f>3*7.83</f>
        <v>23.490000000000002</v>
      </c>
      <c r="Y17" s="563">
        <f>TRUNC(((H17*2)-(4*3.5))*1.5*0.06,3)</f>
        <v>25.474</v>
      </c>
    </row>
    <row r="18" spans="1:25" ht="28.5" customHeight="1">
      <c r="A18" s="329" t="s">
        <v>339</v>
      </c>
      <c r="B18" s="192">
        <v>0</v>
      </c>
      <c r="C18" s="193" t="s">
        <v>56</v>
      </c>
      <c r="D18" s="275">
        <v>0</v>
      </c>
      <c r="E18" s="192">
        <v>11</v>
      </c>
      <c r="F18" s="192" t="s">
        <v>56</v>
      </c>
      <c r="G18" s="284">
        <v>4.9020000000000001</v>
      </c>
      <c r="H18" s="317">
        <f t="shared" si="10"/>
        <v>224.90199999999999</v>
      </c>
      <c r="I18" s="317">
        <v>0.5</v>
      </c>
      <c r="J18" s="317">
        <v>3.5</v>
      </c>
      <c r="K18" s="317">
        <v>3.5</v>
      </c>
      <c r="L18" s="318">
        <v>0.5</v>
      </c>
      <c r="M18" s="317">
        <f t="shared" si="11"/>
        <v>1551.8237999999999</v>
      </c>
      <c r="N18" s="319">
        <v>1639.325</v>
      </c>
      <c r="O18" s="320">
        <v>0</v>
      </c>
      <c r="P18" s="321">
        <f t="shared" si="12"/>
        <v>1799.22</v>
      </c>
      <c r="Q18" s="229">
        <f t="shared" si="9"/>
        <v>719.69</v>
      </c>
      <c r="R18" s="321">
        <f t="shared" si="13"/>
        <v>359.84</v>
      </c>
      <c r="S18" s="321">
        <f t="shared" si="14"/>
        <v>359.84</v>
      </c>
      <c r="T18" s="228">
        <f t="shared" si="5"/>
        <v>1439.37</v>
      </c>
      <c r="U18" s="321">
        <f t="shared" si="15"/>
        <v>1439.37</v>
      </c>
      <c r="V18" s="228">
        <f t="shared" si="8"/>
        <v>138.17952</v>
      </c>
      <c r="W18" s="321">
        <f t="shared" si="16"/>
        <v>426.31399999999996</v>
      </c>
      <c r="X18" s="321">
        <f>3*7.83</f>
        <v>23.490000000000002</v>
      </c>
      <c r="Y18" s="563">
        <f>TRUNC(((H18*2)-(13*3.5))*1.5*0.06,3)</f>
        <v>36.387</v>
      </c>
    </row>
    <row r="19" spans="1:25" ht="21" customHeight="1">
      <c r="A19" s="329" t="s">
        <v>340</v>
      </c>
      <c r="B19" s="192">
        <v>0</v>
      </c>
      <c r="C19" s="193" t="s">
        <v>56</v>
      </c>
      <c r="D19" s="275">
        <v>0</v>
      </c>
      <c r="E19" s="192">
        <v>7</v>
      </c>
      <c r="F19" s="192" t="s">
        <v>56</v>
      </c>
      <c r="G19" s="284">
        <v>5.6840000000000002</v>
      </c>
      <c r="H19" s="317">
        <f t="shared" si="10"/>
        <v>145.684</v>
      </c>
      <c r="I19" s="317">
        <v>0.5</v>
      </c>
      <c r="J19" s="317">
        <v>3.5</v>
      </c>
      <c r="K19" s="317">
        <v>3.5</v>
      </c>
      <c r="L19" s="318">
        <v>0.5</v>
      </c>
      <c r="M19" s="317">
        <f t="shared" si="11"/>
        <v>1005.2196</v>
      </c>
      <c r="N19" s="319">
        <v>902.76099999999997</v>
      </c>
      <c r="O19" s="320">
        <v>0</v>
      </c>
      <c r="P19" s="321">
        <f t="shared" si="12"/>
        <v>1165.47</v>
      </c>
      <c r="Q19" s="229">
        <f t="shared" si="9"/>
        <v>466.19</v>
      </c>
      <c r="R19" s="321">
        <f t="shared" si="13"/>
        <v>233.09</v>
      </c>
      <c r="S19" s="321">
        <f t="shared" si="14"/>
        <v>233.09</v>
      </c>
      <c r="T19" s="228">
        <f t="shared" si="5"/>
        <v>932.38</v>
      </c>
      <c r="U19" s="321">
        <f t="shared" si="15"/>
        <v>932.38</v>
      </c>
      <c r="V19" s="228">
        <f t="shared" si="8"/>
        <v>89.508480000000006</v>
      </c>
      <c r="W19" s="321">
        <f t="shared" si="16"/>
        <v>275.70799999999997</v>
      </c>
      <c r="X19" s="321">
        <f>2*7.83</f>
        <v>15.66</v>
      </c>
      <c r="Y19" s="563">
        <f>TRUNC(((H19*2)-(8*3.5))*1.5*0.06,3)</f>
        <v>23.702999999999999</v>
      </c>
    </row>
    <row r="20" spans="1:25" ht="21" customHeight="1">
      <c r="A20" s="329" t="s">
        <v>348</v>
      </c>
      <c r="B20" s="192">
        <v>0</v>
      </c>
      <c r="C20" s="193" t="s">
        <v>56</v>
      </c>
      <c r="D20" s="275">
        <v>0</v>
      </c>
      <c r="E20" s="192">
        <v>7</v>
      </c>
      <c r="F20" s="192" t="s">
        <v>56</v>
      </c>
      <c r="G20" s="284">
        <v>9.6579999999999995</v>
      </c>
      <c r="H20" s="317">
        <f t="shared" si="10"/>
        <v>149.65799999999999</v>
      </c>
      <c r="I20" s="317">
        <v>0.5</v>
      </c>
      <c r="J20" s="317">
        <v>3.5</v>
      </c>
      <c r="K20" s="317">
        <v>3.5</v>
      </c>
      <c r="L20" s="318">
        <v>0.5</v>
      </c>
      <c r="M20" s="317">
        <f t="shared" si="11"/>
        <v>1032.6402</v>
      </c>
      <c r="N20" s="319">
        <v>942.024</v>
      </c>
      <c r="O20" s="320">
        <v>0</v>
      </c>
      <c r="P20" s="321">
        <f t="shared" si="12"/>
        <v>1197.26</v>
      </c>
      <c r="Q20" s="229">
        <f t="shared" si="9"/>
        <v>478.91</v>
      </c>
      <c r="R20" s="321">
        <f t="shared" si="13"/>
        <v>239.45</v>
      </c>
      <c r="S20" s="321">
        <f t="shared" si="14"/>
        <v>239.45</v>
      </c>
      <c r="T20" s="228">
        <f t="shared" si="5"/>
        <v>957.81</v>
      </c>
      <c r="U20" s="321">
        <f t="shared" si="15"/>
        <v>957.81</v>
      </c>
      <c r="V20" s="228">
        <f t="shared" si="8"/>
        <v>91.949759999999984</v>
      </c>
      <c r="W20" s="321">
        <f t="shared" si="16"/>
        <v>283.65599999999995</v>
      </c>
      <c r="X20" s="321">
        <f>2*7.83</f>
        <v>15.66</v>
      </c>
      <c r="Y20" s="563">
        <f>TRUNC(((H20*2)-(4*3.5))*1.5*0.06,3)</f>
        <v>25.678000000000001</v>
      </c>
    </row>
    <row r="21" spans="1:25" s="18" customFormat="1" ht="21" customHeight="1">
      <c r="A21" s="567" t="s">
        <v>604</v>
      </c>
      <c r="B21" s="192"/>
      <c r="C21" s="193" t="s">
        <v>56</v>
      </c>
      <c r="D21" s="194"/>
      <c r="E21" s="192"/>
      <c r="F21" s="192" t="s">
        <v>56</v>
      </c>
      <c r="G21" s="194"/>
      <c r="H21" s="317">
        <v>40</v>
      </c>
      <c r="I21" s="322">
        <v>0.5</v>
      </c>
      <c r="J21" s="317">
        <v>3.5</v>
      </c>
      <c r="K21" s="317">
        <v>3.5</v>
      </c>
      <c r="L21" s="318">
        <v>0.5</v>
      </c>
      <c r="M21" s="317">
        <f>H21*3</f>
        <v>120</v>
      </c>
      <c r="N21" s="319">
        <f>(I21+J21+K21 +L21)*H21*0.6</f>
        <v>192</v>
      </c>
      <c r="O21" s="323">
        <v>0</v>
      </c>
      <c r="P21" s="321">
        <f t="shared" si="12"/>
        <v>320</v>
      </c>
      <c r="Q21" s="229">
        <f t="shared" si="9"/>
        <v>128</v>
      </c>
      <c r="R21" s="321">
        <f t="shared" si="13"/>
        <v>64</v>
      </c>
      <c r="S21" s="321">
        <f t="shared" si="14"/>
        <v>64</v>
      </c>
      <c r="T21" s="228">
        <f t="shared" si="5"/>
        <v>256</v>
      </c>
      <c r="U21" s="321">
        <f t="shared" si="15"/>
        <v>256</v>
      </c>
      <c r="V21" s="228">
        <f t="shared" si="8"/>
        <v>24.576000000000001</v>
      </c>
      <c r="W21" s="321">
        <f>H21-X21</f>
        <v>24.3</v>
      </c>
      <c r="X21" s="321">
        <v>15.7</v>
      </c>
      <c r="Y21" s="563">
        <f>TRUNC(((H21*2)-(0*3.5))*1.5*0.06,3)</f>
        <v>7.2</v>
      </c>
    </row>
    <row r="22" spans="1:25" s="18" customFormat="1">
      <c r="A22" s="330" t="s">
        <v>14</v>
      </c>
      <c r="B22" s="844"/>
      <c r="C22" s="844"/>
      <c r="D22" s="844"/>
      <c r="E22" s="844"/>
      <c r="F22" s="844"/>
      <c r="G22" s="844"/>
      <c r="H22" s="324">
        <f>SUM(H8:H21)</f>
        <v>2513.808</v>
      </c>
      <c r="I22" s="324"/>
      <c r="J22" s="324"/>
      <c r="K22" s="324"/>
      <c r="L22" s="324"/>
      <c r="M22" s="324">
        <f t="shared" ref="M22:X22" si="17">SUM(M8:M21)</f>
        <v>17189.2752</v>
      </c>
      <c r="N22" s="324">
        <f t="shared" si="17"/>
        <v>17910.423999999999</v>
      </c>
      <c r="O22" s="324">
        <f t="shared" si="17"/>
        <v>0</v>
      </c>
      <c r="P22" s="324">
        <f t="shared" si="17"/>
        <v>20110.47</v>
      </c>
      <c r="Q22" s="324">
        <f t="shared" si="17"/>
        <v>8896.0400000000009</v>
      </c>
      <c r="R22" s="324">
        <f t="shared" si="17"/>
        <v>4022.07</v>
      </c>
      <c r="S22" s="324">
        <f t="shared" si="17"/>
        <v>4022.07</v>
      </c>
      <c r="T22" s="324">
        <f t="shared" si="17"/>
        <v>16088.369999999999</v>
      </c>
      <c r="U22" s="324">
        <f t="shared" si="17"/>
        <v>16088.369999999999</v>
      </c>
      <c r="V22" s="324">
        <f t="shared" si="17"/>
        <v>1544.4835199999995</v>
      </c>
      <c r="W22" s="324">
        <f t="shared" si="17"/>
        <v>4635.8360000000002</v>
      </c>
      <c r="X22" s="324">
        <f t="shared" si="17"/>
        <v>351.78000000000009</v>
      </c>
      <c r="Y22" s="547">
        <f>SUM(Y8:Y21)</f>
        <v>425.70499999999998</v>
      </c>
    </row>
    <row r="23" spans="1:25" ht="13.5" thickBot="1">
      <c r="A23" s="845"/>
      <c r="B23" s="846"/>
      <c r="C23" s="846"/>
      <c r="D23" s="846"/>
      <c r="E23" s="846"/>
      <c r="F23" s="846"/>
      <c r="G23" s="846"/>
      <c r="H23" s="846"/>
      <c r="I23" s="846"/>
      <c r="J23" s="846"/>
      <c r="K23" s="846"/>
      <c r="L23" s="846"/>
      <c r="M23" s="846"/>
      <c r="N23" s="846"/>
      <c r="O23" s="846"/>
      <c r="P23" s="846"/>
      <c r="Q23" s="846"/>
      <c r="R23" s="846"/>
      <c r="S23" s="846"/>
      <c r="T23" s="846"/>
      <c r="U23" s="846"/>
      <c r="V23" s="846"/>
      <c r="W23" s="846"/>
      <c r="X23" s="846"/>
      <c r="Y23" s="847"/>
    </row>
    <row r="24" spans="1:25" ht="18.75">
      <c r="A24" s="841" t="s">
        <v>195</v>
      </c>
      <c r="B24" s="842"/>
      <c r="C24" s="842"/>
      <c r="D24" s="842"/>
      <c r="E24" s="842"/>
      <c r="F24" s="842"/>
      <c r="G24" s="842"/>
      <c r="H24" s="842"/>
      <c r="I24" s="842"/>
      <c r="J24" s="842"/>
      <c r="K24" s="842"/>
      <c r="L24" s="842"/>
      <c r="M24" s="842"/>
      <c r="N24" s="842"/>
      <c r="O24" s="842"/>
      <c r="P24" s="842"/>
      <c r="Q24" s="842"/>
      <c r="R24" s="842"/>
      <c r="S24" s="842"/>
      <c r="T24" s="842"/>
      <c r="U24" s="842"/>
      <c r="V24" s="842"/>
      <c r="W24" s="842"/>
      <c r="X24" s="842"/>
      <c r="Y24" s="843"/>
    </row>
    <row r="25" spans="1:25" ht="12" customHeight="1">
      <c r="A25" s="840" t="s">
        <v>342</v>
      </c>
      <c r="B25" s="824" t="s">
        <v>50</v>
      </c>
      <c r="C25" s="824"/>
      <c r="D25" s="824"/>
      <c r="E25" s="824"/>
      <c r="F25" s="824"/>
      <c r="G25" s="824"/>
      <c r="H25" s="823" t="s">
        <v>51</v>
      </c>
      <c r="I25" s="823" t="s">
        <v>228</v>
      </c>
      <c r="J25" s="823"/>
      <c r="K25" s="823"/>
      <c r="L25" s="823"/>
      <c r="M25" s="823" t="s">
        <v>233</v>
      </c>
      <c r="N25" s="823" t="s">
        <v>3</v>
      </c>
      <c r="O25" s="823"/>
      <c r="P25" s="823" t="s">
        <v>196</v>
      </c>
      <c r="Q25" s="823" t="s">
        <v>325</v>
      </c>
      <c r="R25" s="823" t="s">
        <v>197</v>
      </c>
      <c r="S25" s="823" t="s">
        <v>347</v>
      </c>
      <c r="T25" s="823" t="s">
        <v>570</v>
      </c>
      <c r="U25" s="838"/>
      <c r="V25" s="823"/>
      <c r="W25" s="838" t="s">
        <v>200</v>
      </c>
      <c r="X25" s="838"/>
      <c r="Y25" s="375"/>
    </row>
    <row r="26" spans="1:25" ht="12.75" customHeight="1">
      <c r="A26" s="840"/>
      <c r="B26" s="824" t="s">
        <v>52</v>
      </c>
      <c r="C26" s="824"/>
      <c r="D26" s="824"/>
      <c r="E26" s="824" t="s">
        <v>53</v>
      </c>
      <c r="F26" s="824"/>
      <c r="G26" s="824"/>
      <c r="H26" s="823"/>
      <c r="I26" s="822" t="s">
        <v>229</v>
      </c>
      <c r="J26" s="822" t="s">
        <v>232</v>
      </c>
      <c r="K26" s="822" t="s">
        <v>230</v>
      </c>
      <c r="L26" s="822" t="s">
        <v>231</v>
      </c>
      <c r="M26" s="823"/>
      <c r="N26" s="823" t="s">
        <v>54</v>
      </c>
      <c r="O26" s="823" t="s">
        <v>55</v>
      </c>
      <c r="P26" s="823"/>
      <c r="Q26" s="823"/>
      <c r="R26" s="823"/>
      <c r="S26" s="823"/>
      <c r="T26" s="823"/>
      <c r="U26" s="839"/>
      <c r="V26" s="823"/>
      <c r="W26" s="838"/>
      <c r="X26" s="838"/>
      <c r="Y26" s="375"/>
    </row>
    <row r="27" spans="1:25" ht="28.5" customHeight="1">
      <c r="A27" s="840"/>
      <c r="B27" s="824"/>
      <c r="C27" s="824"/>
      <c r="D27" s="824"/>
      <c r="E27" s="824"/>
      <c r="F27" s="824"/>
      <c r="G27" s="824"/>
      <c r="H27" s="823"/>
      <c r="I27" s="822"/>
      <c r="J27" s="822"/>
      <c r="K27" s="822"/>
      <c r="L27" s="822"/>
      <c r="M27" s="823"/>
      <c r="N27" s="823"/>
      <c r="O27" s="823"/>
      <c r="P27" s="823"/>
      <c r="Q27" s="823"/>
      <c r="R27" s="823"/>
      <c r="S27" s="823"/>
      <c r="T27" s="823"/>
      <c r="U27" s="839"/>
      <c r="V27" s="823"/>
      <c r="W27" s="97" t="s">
        <v>235</v>
      </c>
      <c r="X27" s="373" t="s">
        <v>236</v>
      </c>
      <c r="Y27" s="375"/>
    </row>
    <row r="28" spans="1:25" ht="21" customHeight="1">
      <c r="A28" s="329" t="s">
        <v>345</v>
      </c>
      <c r="B28" s="192">
        <v>0</v>
      </c>
      <c r="C28" s="193" t="s">
        <v>56</v>
      </c>
      <c r="D28" s="275">
        <v>0</v>
      </c>
      <c r="E28" s="192">
        <v>7</v>
      </c>
      <c r="F28" s="192" t="s">
        <v>56</v>
      </c>
      <c r="G28" s="284">
        <v>4.4999999999999998E-2</v>
      </c>
      <c r="H28" s="317">
        <f>(E28*20+G28)-(B28*20+D28)</f>
        <v>140.04499999999999</v>
      </c>
      <c r="I28" s="317">
        <v>0.5</v>
      </c>
      <c r="J28" s="317">
        <v>2</v>
      </c>
      <c r="K28" s="317">
        <v>2</v>
      </c>
      <c r="L28" s="318">
        <v>0.5</v>
      </c>
      <c r="M28" s="317">
        <f>H28*3</f>
        <v>420.13499999999999</v>
      </c>
      <c r="N28" s="317">
        <v>1258.374</v>
      </c>
      <c r="O28" s="320">
        <v>0</v>
      </c>
      <c r="P28" s="321">
        <f>INT((I28+J28+K28+L28)*H28*100+0.5)/100</f>
        <v>700.23</v>
      </c>
      <c r="Q28" s="321">
        <f>INT((I28+J28+K28+L28)*H28*0.4*100+0.5)/100</f>
        <v>280.08999999999997</v>
      </c>
      <c r="R28" s="321">
        <f>INT((I28+J28+K28+L28)*H28*0.2*100+0.5)/100</f>
        <v>140.05000000000001</v>
      </c>
      <c r="S28" s="321">
        <f>INT((I28+J28+K28+L28)*H28*0.2*100+0.5)/100</f>
        <v>140.05000000000001</v>
      </c>
      <c r="T28" s="228">
        <f>INT((J28-0.3+K28-0.3)*H28*100+0.5)/100</f>
        <v>476.15</v>
      </c>
      <c r="U28" s="321"/>
      <c r="V28" s="321"/>
      <c r="W28" s="321">
        <f>(H28*2)-X28</f>
        <v>264.45</v>
      </c>
      <c r="X28" s="321">
        <v>15.64</v>
      </c>
      <c r="Y28" s="375">
        <f>TRUNC((X28+W28)*2*0.06,3)</f>
        <v>33.61</v>
      </c>
    </row>
    <row r="29" spans="1:25" s="18" customFormat="1" ht="13.5" thickBot="1">
      <c r="A29" s="331" t="s">
        <v>14</v>
      </c>
      <c r="B29" s="821"/>
      <c r="C29" s="821"/>
      <c r="D29" s="821"/>
      <c r="E29" s="821"/>
      <c r="F29" s="821"/>
      <c r="G29" s="821"/>
      <c r="H29" s="332">
        <f>H28</f>
        <v>140.04499999999999</v>
      </c>
      <c r="I29" s="332"/>
      <c r="J29" s="332"/>
      <c r="K29" s="332"/>
      <c r="L29" s="332"/>
      <c r="M29" s="332">
        <f t="shared" ref="M29:X29" si="18">M28</f>
        <v>420.13499999999999</v>
      </c>
      <c r="N29" s="332">
        <f t="shared" si="18"/>
        <v>1258.374</v>
      </c>
      <c r="O29" s="332">
        <f t="shared" si="18"/>
        <v>0</v>
      </c>
      <c r="P29" s="332">
        <f t="shared" si="18"/>
        <v>700.23</v>
      </c>
      <c r="Q29" s="332">
        <f t="shared" si="18"/>
        <v>280.08999999999997</v>
      </c>
      <c r="R29" s="332">
        <f t="shared" si="18"/>
        <v>140.05000000000001</v>
      </c>
      <c r="S29" s="332">
        <f t="shared" si="18"/>
        <v>140.05000000000001</v>
      </c>
      <c r="T29" s="332">
        <f t="shared" si="18"/>
        <v>476.15</v>
      </c>
      <c r="U29" s="332">
        <f t="shared" si="18"/>
        <v>0</v>
      </c>
      <c r="V29" s="332">
        <f t="shared" si="18"/>
        <v>0</v>
      </c>
      <c r="W29" s="332">
        <f t="shared" si="18"/>
        <v>264.45</v>
      </c>
      <c r="X29" s="332">
        <f t="shared" si="18"/>
        <v>15.64</v>
      </c>
      <c r="Y29" s="380">
        <f>SUM(Y28)</f>
        <v>33.61</v>
      </c>
    </row>
    <row r="30" spans="1:25" ht="12" customHeight="1">
      <c r="A30" s="376"/>
      <c r="B30" s="377"/>
      <c r="C30" s="377"/>
      <c r="D30" s="377"/>
      <c r="E30" s="377"/>
      <c r="F30" s="377"/>
      <c r="G30" s="377"/>
      <c r="H30" s="378"/>
      <c r="I30" s="378"/>
      <c r="J30" s="378"/>
      <c r="K30" s="378"/>
      <c r="L30" s="378"/>
      <c r="M30" s="378"/>
      <c r="N30" s="378"/>
      <c r="O30" s="378"/>
      <c r="P30" s="378"/>
      <c r="Q30" s="378"/>
      <c r="R30" s="378"/>
      <c r="S30" s="378"/>
      <c r="T30" s="378"/>
      <c r="U30" s="378"/>
      <c r="V30" s="378"/>
      <c r="W30" s="378"/>
      <c r="X30" s="378"/>
      <c r="Y30" s="379"/>
    </row>
    <row r="31" spans="1:25" s="18" customFormat="1" ht="13.5" thickBot="1">
      <c r="A31" s="331" t="s">
        <v>349</v>
      </c>
      <c r="B31" s="821"/>
      <c r="C31" s="821"/>
      <c r="D31" s="821"/>
      <c r="E31" s="821"/>
      <c r="F31" s="821"/>
      <c r="G31" s="821"/>
      <c r="H31" s="332">
        <f>H22+H29</f>
        <v>2653.8530000000001</v>
      </c>
      <c r="I31" s="332">
        <f t="shared" ref="I31:Y31" si="19">I22+I29</f>
        <v>0</v>
      </c>
      <c r="J31" s="332">
        <f t="shared" si="19"/>
        <v>0</v>
      </c>
      <c r="K31" s="332">
        <f t="shared" si="19"/>
        <v>0</v>
      </c>
      <c r="L31" s="332">
        <f t="shared" si="19"/>
        <v>0</v>
      </c>
      <c r="M31" s="332">
        <f t="shared" si="19"/>
        <v>17609.410199999998</v>
      </c>
      <c r="N31" s="332">
        <f t="shared" si="19"/>
        <v>19168.797999999999</v>
      </c>
      <c r="O31" s="332">
        <f t="shared" si="19"/>
        <v>0</v>
      </c>
      <c r="P31" s="332">
        <f t="shared" si="19"/>
        <v>20810.7</v>
      </c>
      <c r="Q31" s="332">
        <f t="shared" si="19"/>
        <v>9176.130000000001</v>
      </c>
      <c r="R31" s="332">
        <f t="shared" si="19"/>
        <v>4162.12</v>
      </c>
      <c r="S31" s="332">
        <f t="shared" si="19"/>
        <v>4162.12</v>
      </c>
      <c r="T31" s="332">
        <f t="shared" si="19"/>
        <v>16564.52</v>
      </c>
      <c r="U31" s="332">
        <f t="shared" si="19"/>
        <v>16088.369999999999</v>
      </c>
      <c r="V31" s="332">
        <f t="shared" si="19"/>
        <v>1544.4835199999995</v>
      </c>
      <c r="W31" s="332">
        <f t="shared" si="19"/>
        <v>4900.2860000000001</v>
      </c>
      <c r="X31" s="332">
        <f t="shared" si="19"/>
        <v>367.42000000000007</v>
      </c>
      <c r="Y31" s="332">
        <f t="shared" si="19"/>
        <v>459.315</v>
      </c>
    </row>
    <row r="32" spans="1:25" ht="12" customHeight="1"/>
    <row r="33" spans="13:20" ht="12" customHeight="1">
      <c r="M33" s="203"/>
    </row>
    <row r="34" spans="13:20" ht="12" customHeight="1">
      <c r="M34" s="203"/>
      <c r="T34" s="325">
        <f>T22+T31</f>
        <v>32652.89</v>
      </c>
    </row>
    <row r="35" spans="13:20" ht="12" customHeight="1">
      <c r="M35" s="203"/>
      <c r="N35" s="325">
        <f>Q31+R31+S31</f>
        <v>17500.37</v>
      </c>
    </row>
    <row r="36" spans="13:20" ht="12" customHeight="1">
      <c r="M36" s="326"/>
      <c r="N36" s="327"/>
    </row>
    <row r="37" spans="13:20" ht="12" customHeight="1">
      <c r="N37" s="328">
        <f>N35*1.2</f>
        <v>21000.444</v>
      </c>
    </row>
    <row r="38" spans="13:20" ht="12" customHeight="1"/>
    <row r="39" spans="13:20" ht="12" customHeight="1"/>
    <row r="40" spans="13:20" ht="12" customHeight="1"/>
    <row r="41" spans="13:20" ht="12" customHeight="1"/>
    <row r="42" spans="13:20" ht="12" customHeight="1"/>
    <row r="43" spans="13:20" ht="12" customHeight="1"/>
    <row r="44" spans="13:20" ht="12" customHeight="1"/>
    <row r="45" spans="13:20" ht="12" customHeight="1"/>
    <row r="46" spans="13:20" ht="12" customHeight="1"/>
    <row r="47" spans="13:20" ht="12" customHeight="1"/>
    <row r="48" spans="13:2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</sheetData>
  <mergeCells count="54">
    <mergeCell ref="Q5:Q7"/>
    <mergeCell ref="B22:G22"/>
    <mergeCell ref="N5:O5"/>
    <mergeCell ref="N25:O25"/>
    <mergeCell ref="A23:Y23"/>
    <mergeCell ref="R25:R27"/>
    <mergeCell ref="N26:N27"/>
    <mergeCell ref="W25:X26"/>
    <mergeCell ref="B26:D27"/>
    <mergeCell ref="V25:V27"/>
    <mergeCell ref="A24:Y24"/>
    <mergeCell ref="A25:A27"/>
    <mergeCell ref="B25:G25"/>
    <mergeCell ref="Q25:Q27"/>
    <mergeCell ref="U25:U27"/>
    <mergeCell ref="T25:T27"/>
    <mergeCell ref="S25:S27"/>
    <mergeCell ref="J26:J27"/>
    <mergeCell ref="P25:P27"/>
    <mergeCell ref="M25:M27"/>
    <mergeCell ref="O26:O27"/>
    <mergeCell ref="K26:K27"/>
    <mergeCell ref="A1:Y1"/>
    <mergeCell ref="A2:Y2"/>
    <mergeCell ref="A3:Y3"/>
    <mergeCell ref="A4:Y4"/>
    <mergeCell ref="Y5:Y7"/>
    <mergeCell ref="T5:T7"/>
    <mergeCell ref="B6:D7"/>
    <mergeCell ref="U5:U7"/>
    <mergeCell ref="E6:G7"/>
    <mergeCell ref="A5:A7"/>
    <mergeCell ref="V5:V7"/>
    <mergeCell ref="S5:S7"/>
    <mergeCell ref="I5:L5"/>
    <mergeCell ref="R5:R7"/>
    <mergeCell ref="P5:P7"/>
    <mergeCell ref="W5:X6"/>
    <mergeCell ref="B31:G31"/>
    <mergeCell ref="L6:L7"/>
    <mergeCell ref="H5:H7"/>
    <mergeCell ref="O6:O7"/>
    <mergeCell ref="I6:I7"/>
    <mergeCell ref="B29:G29"/>
    <mergeCell ref="K6:K7"/>
    <mergeCell ref="H25:H27"/>
    <mergeCell ref="I25:L25"/>
    <mergeCell ref="I26:I27"/>
    <mergeCell ref="B5:G5"/>
    <mergeCell ref="J6:J7"/>
    <mergeCell ref="M5:M7"/>
    <mergeCell ref="N6:N7"/>
    <mergeCell ref="L26:L27"/>
    <mergeCell ref="E26:G27"/>
  </mergeCells>
  <printOptions horizontalCentered="1"/>
  <pageMargins left="0.11811023622047245" right="0.11811023622047245" top="0.59055118110236227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7</vt:i4>
      </vt:variant>
    </vt:vector>
  </HeadingPairs>
  <TitlesOfParts>
    <vt:vector size="22" baseType="lpstr">
      <vt:lpstr>RESUMO</vt:lpstr>
      <vt:lpstr>QUANT</vt:lpstr>
      <vt:lpstr>ORÇA </vt:lpstr>
      <vt:lpstr>TRANSP</vt:lpstr>
      <vt:lpstr>TRANSPRT ASFALTO CAP 50-70</vt:lpstr>
      <vt:lpstr>TRANSPRT ASFALTO EMULSÃO-CM-30</vt:lpstr>
      <vt:lpstr>AQUIS MATERIAL BETUMINOSO</vt:lpstr>
      <vt:lpstr>CFF</vt:lpstr>
      <vt:lpstr>TERRAP E PAVIM</vt:lpstr>
      <vt:lpstr>MEMORIAL DE CALCULO</vt:lpstr>
      <vt:lpstr>BDI</vt:lpstr>
      <vt:lpstr>BDI DIFERENCIADO</vt:lpstr>
      <vt:lpstr>DRENO PROF</vt:lpstr>
      <vt:lpstr>SN HOR</vt:lpstr>
      <vt:lpstr>SN VERT</vt:lpstr>
      <vt:lpstr>CFF!Area_de_impressao</vt:lpstr>
      <vt:lpstr>'ORÇA '!Area_de_impressao</vt:lpstr>
      <vt:lpstr>QUANT!Area_de_impressao</vt:lpstr>
      <vt:lpstr>'SN HOR'!Area_de_impressao</vt:lpstr>
      <vt:lpstr>TRANSP!Area_de_impressao</vt:lpstr>
      <vt:lpstr>'ORÇA '!Titulos_de_impressao</vt:lpstr>
      <vt:lpstr>QUANT!Titulos_de_impressao</vt:lpstr>
    </vt:vector>
  </TitlesOfParts>
  <Company>ECP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ECP</dc:creator>
  <cp:lastModifiedBy>Felipe Augusto Tezolin</cp:lastModifiedBy>
  <cp:lastPrinted>2021-07-28T19:17:52Z</cp:lastPrinted>
  <dcterms:created xsi:type="dcterms:W3CDTF">1997-03-06T18:55:11Z</dcterms:created>
  <dcterms:modified xsi:type="dcterms:W3CDTF">2022-02-09T12:20:57Z</dcterms:modified>
</cp:coreProperties>
</file>